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sTU2asrqrZjkzmuj8gYZ0RUqeJaHKkp+etaflIXXV5GBGjer1/yap+0P41yYpznsPrI6efAJuwlYTcMvmgVE1w==" workbookSaltValue="+Yx9+DhT+/iNALgt2dKpF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R8" i="9"/>
  <c r="X12" i="21" s="1"/>
  <c r="BM19" i="8"/>
  <c r="BK19" i="8"/>
  <c r="EP19" i="8"/>
  <c r="AL13" i="16"/>
  <c r="AJ13" i="16"/>
  <c r="BH9" i="16"/>
  <c r="V15" i="11"/>
  <c r="BJ17" i="11"/>
  <c r="BH15" i="11"/>
  <c r="BH15" i="16"/>
  <c r="Q17" i="20"/>
  <c r="Q18" i="20" s="1"/>
  <c r="V11" i="16"/>
  <c r="BF17" i="11"/>
  <c r="BF16" i="11"/>
  <c r="S17" i="16"/>
  <c r="BL12" i="11"/>
  <c r="S13" i="16"/>
  <c r="H18" i="16"/>
  <c r="BN18" i="16"/>
  <c r="P13" i="16"/>
  <c r="AM13" i="20"/>
  <c r="AN13" i="20"/>
  <c r="AT17" i="20"/>
  <c r="X11" i="17"/>
  <c r="V17" i="16"/>
  <c r="N13" i="2"/>
  <c r="T13" i="12"/>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BF12" i="11"/>
  <c r="BL15" i="11"/>
  <c r="BL10" i="11"/>
  <c r="R11" i="14"/>
  <c r="BJ10" i="11"/>
  <c r="BK16" i="11"/>
  <c r="BH11" i="11"/>
  <c r="BG16" i="11"/>
  <c r="S17" i="17"/>
  <c r="BM9" i="11"/>
  <c r="BH12" i="16"/>
  <c r="BK10" i="11"/>
  <c r="T13" i="20"/>
  <c r="BD9" i="8"/>
  <c r="S15" i="17"/>
  <c r="X10" i="21"/>
  <c r="AA11" i="16"/>
  <c r="L9" i="2"/>
  <c r="T13" i="16"/>
  <c r="AP13" i="16"/>
  <c r="F15" i="16"/>
  <c r="BL15" i="16" s="1"/>
  <c r="T18" i="17"/>
  <c r="BF15" i="13"/>
  <c r="BG15" i="13"/>
  <c r="BA18" i="13"/>
  <c r="G18" i="14"/>
  <c r="AO20" i="20"/>
  <c r="AN20" i="20"/>
  <c r="H20" i="20"/>
  <c r="AM20" i="20"/>
  <c r="E20" i="20"/>
  <c r="K20" i="20"/>
  <c r="N20" i="20"/>
  <c r="U12" i="11"/>
  <c r="L20" i="20"/>
  <c r="U16" i="11"/>
  <c r="AI20" i="20"/>
  <c r="AF20" i="20"/>
  <c r="AX20" i="20"/>
  <c r="AZ20" i="20"/>
  <c r="AG20" i="20"/>
  <c r="AC20" i="20"/>
  <c r="Q20" i="20"/>
  <c r="U10" i="11"/>
  <c r="Z20" i="20"/>
  <c r="AA20" i="20"/>
  <c r="M20" i="20"/>
  <c r="F20" i="20"/>
  <c r="O20" i="20"/>
  <c r="AU20" i="20"/>
  <c r="W20" i="21"/>
  <c r="X20" i="20"/>
  <c r="AH20" i="20"/>
  <c r="I20" i="20"/>
  <c r="P20" i="20"/>
  <c r="AQ20" i="20"/>
  <c r="W20" i="20"/>
  <c r="AK20" i="20"/>
  <c r="AQ20" i="21"/>
  <c r="AM19" i="8" l="1"/>
  <c r="F17" i="16"/>
  <c r="BL17" i="16" s="1"/>
  <c r="AC19" i="8"/>
  <c r="AK19" i="8"/>
  <c r="AA19" i="8"/>
  <c r="AI19" i="8"/>
  <c r="AE13" i="17"/>
  <c r="T19" i="8"/>
  <c r="BG10" i="8"/>
  <c r="BE9" i="8"/>
  <c r="R19" i="8"/>
  <c r="BG9" i="8"/>
  <c r="K9" i="7" s="1"/>
  <c r="AP16" i="20"/>
  <c r="T17" i="11"/>
  <c r="V9" i="16"/>
  <c r="AA9" i="16"/>
  <c r="V10" i="16"/>
  <c r="X15" i="16"/>
  <c r="X18" i="16" s="1"/>
  <c r="L17" i="2"/>
  <c r="L15" i="2"/>
  <c r="H9" i="7"/>
  <c r="BL16" i="11"/>
  <c r="BJ16" i="11"/>
  <c r="AQ12" i="21"/>
  <c r="BH16" i="11"/>
  <c r="BF15" i="11"/>
  <c r="BM17" i="11"/>
  <c r="Q15" i="17"/>
  <c r="BH10" i="16"/>
  <c r="S10" i="17"/>
  <c r="T12" i="11"/>
  <c r="AQ10" i="21"/>
  <c r="BI9" i="11"/>
  <c r="BH10" i="11"/>
  <c r="Q17" i="17"/>
  <c r="BG12" i="11"/>
  <c r="AZ11" i="11"/>
  <c r="AZ12" i="11"/>
  <c r="AZ16" i="11"/>
  <c r="BU12" i="17"/>
  <c r="V12" i="16"/>
  <c r="BW10" i="20"/>
  <c r="U10" i="17"/>
  <c r="BW11" i="20"/>
  <c r="BV11" i="16"/>
  <c r="BW12" i="20"/>
  <c r="BV12" i="16"/>
  <c r="BU10" i="17"/>
  <c r="BV17" i="16"/>
  <c r="BU11" i="17"/>
  <c r="T15" i="16"/>
  <c r="T17" i="16"/>
  <c r="BK17" i="11"/>
  <c r="R17" i="20"/>
  <c r="R18" i="20" s="1"/>
  <c r="BG15" i="11"/>
  <c r="AP15" i="20"/>
  <c r="BJ12" i="11"/>
  <c r="BJ15" i="11"/>
  <c r="BI15" i="11"/>
  <c r="S9" i="14"/>
  <c r="V9" i="14" s="1"/>
  <c r="Q10" i="21"/>
  <c r="BI10" i="11"/>
  <c r="V11" i="11"/>
  <c r="BK11" i="11"/>
  <c r="BK9" i="11"/>
  <c r="BF10" i="11"/>
  <c r="BK12" i="11"/>
  <c r="BL17" i="11"/>
  <c r="P17" i="17"/>
  <c r="BM16" i="11"/>
  <c r="BG10" i="11"/>
  <c r="BH17" i="16"/>
  <c r="BL9" i="11"/>
  <c r="BH11" i="16"/>
  <c r="BF11" i="11"/>
  <c r="T9" i="11"/>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7" s="1"/>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J12" i="7"/>
  <c r="AO12" i="17"/>
  <c r="B12" i="6"/>
  <c r="D12" i="6"/>
  <c r="J12" i="12" s="1"/>
  <c r="AL12" i="11"/>
  <c r="I13" i="2"/>
  <c r="D16" i="2"/>
  <c r="L12" i="14"/>
  <c r="AN12" i="11"/>
  <c r="AM12" i="11"/>
  <c r="C12" i="6"/>
  <c r="I12" i="12" s="1"/>
  <c r="B10" i="6"/>
  <c r="I10" i="7"/>
  <c r="D10" i="2"/>
  <c r="E10" i="6"/>
  <c r="K10" i="12" s="1"/>
  <c r="AO15" i="11"/>
  <c r="E15" i="6"/>
  <c r="K15" i="12" s="1"/>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I11" i="12" l="1"/>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1"/>
  <c r="AV20" i="20"/>
  <c r="AW20" i="1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R20" i="17"/>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<sst xmlns="http://schemas.openxmlformats.org/spreadsheetml/2006/main" count="2080" uniqueCount="913">
  <si>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</si>
  <si>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</si>
  <si>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</si>
  <si>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</si>
  <si>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</si>
  <si>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</si>
  <si>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</si>
  <si>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</si>
  <si>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</si>
  <si>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</si>
  <si>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</si>
  <si>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</si>
  <si>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</si>
  <si>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</si>
  <si>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</si>
  <si>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</si>
  <si>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</si>
  <si>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</si>
  <si>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</si>
  <si>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</si>
  <si>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</si>
  <si>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</si>
  <si>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</si>
  <si>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</si>
  <si>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</si>
  <si>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</si>
  <si>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</si>
  <si>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</si>
  <si>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</si>
  <si>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</si>
  <si>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</si>
  <si>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</si>
  <si>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</si>
  <si>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</si>
  <si>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</si>
  <si>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</si>
  <si>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</si>
  <si>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</si>
  <si>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</si>
  <si>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</si>
  <si>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</si>
  <si>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</si>
  <si>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</si>
  <si>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</si>
  <si>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</si>
  <si>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</si>
  <si>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</si>
  <si>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</si>
  <si>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</si>
  <si>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</si>
  <si>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</si>
  <si>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</si>
  <si>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</si>
  <si>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</si>
  <si>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</si>
  <si>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</si>
  <si>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</si>
  <si>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</si>
  <si>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</si>
  <si>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</si>
  <si>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</si>
  <si>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</si>
  <si>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</si>
  <si>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</si>
  <si>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</si>
  <si>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</si>
  <si>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</si>
  <si>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</si>
  <si>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</si>
  <si>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</si>
  <si>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</si>
  <si>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</si>
  <si>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</si>
  <si>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</si>
  <si>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</si>
  <si>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</si>
  <si>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</si>
  <si>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</si>
  <si>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</si>
  <si>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</si>
  <si>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</si>
  <si>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</si>
  <si>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</si>
  <si>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</si>
  <si>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</si>
  <si>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</si>
  <si>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</si>
  <si>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</si>
  <si>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</si>
  <si>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</si>
  <si>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</si>
  <si>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</si>
  <si>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</si>
  <si>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</si>
  <si>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</si>
  <si>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</si>
  <si>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</si>
  <si>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</si>
  <si>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</si>
  <si>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</si>
  <si>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</si>
  <si>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</si>
  <si>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</si>
  <si>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</si>
  <si>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</si>
  <si>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</si>
  <si>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</si>
  <si>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</si>
  <si>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</si>
  <si>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</si>
  <si>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</si>
  <si>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</si>
  <si>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</si>
  <si>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</si>
  <si>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</si>
  <si>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</si>
  <si>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</si>
  <si>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</si>
  <si>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</si>
  <si>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</si>
  <si>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</si>
  <si>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</si>
  <si>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</si>
  <si>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</si>
  <si>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</si>
  <si>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</si>
  <si>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</si>
  <si>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</si>
  <si>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</si>
  <si>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</si>
  <si>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</si>
  <si>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</si>
  <si>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</si>
  <si>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</si>
  <si>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</si>
  <si>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</si>
  <si>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</si>
  <si>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</si>
  <si>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</si>
  <si>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</si>
  <si>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</si>
  <si>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</si>
  <si>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</si>
  <si>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</si>
  <si>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</si>
  <si>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</si>
  <si>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</si>
  <si>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</si>
  <si>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</si>
  <si>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</si>
  <si>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</si>
  <si>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</si>
  <si>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</si>
  <si>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</si>
  <si>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</si>
  <si>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</si>
  <si>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</si>
  <si>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</si>
  <si>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</si>
  <si>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</si>
  <si>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</si>
  <si>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</si>
  <si>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</si>
  <si>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</si>
  <si>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</si>
  <si>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</si>
  <si>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</si>
  <si>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</si>
  <si>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</si>
  <si>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</si>
  <si>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</si>
  <si>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</si>
  <si>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</si>
  <si>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</si>
  <si>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</si>
  <si>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</si>
  <si>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</si>
  <si>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</si>
  <si>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</si>
  <si>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</si>
  <si>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</si>
  <si>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</si>
  <si>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</si>
  <si>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</si>
  <si>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</si>
  <si>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</si>
  <si>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</si>
  <si>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</si>
  <si>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</si>
  <si>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</si>
  <si>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</si>
  <si>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</si>
  <si>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</si>
  <si>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</si>
  <si>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</si>
  <si>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</si>
  <si>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</si>
  <si>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</si>
  <si>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</si>
  <si>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</si>
  <si>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</si>
  <si>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</si>
  <si>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</si>
  <si>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</si>
  <si>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</si>
  <si>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</si>
  <si>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</si>
  <si>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</si>
  <si>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</si>
  <si>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</si>
  <si>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</si>
  <si>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</si>
  <si>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</si>
  <si>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</si>
  <si>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</si>
  <si>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</si>
  <si>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</si>
  <si>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</si>
  <si>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</si>
  <si>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</si>
  <si>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</si>
  <si>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</si>
  <si>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</si>
  <si>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</si>
  <si>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</si>
  <si>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</si>
  <si>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</si>
  <si>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</si>
  <si>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</si>
  <si>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</si>
  <si>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</si>
  <si>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</si>
  <si>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</si>
  <si>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</si>
  <si>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</si>
  <si>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</si>
  <si>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</si>
  <si>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</si>
  <si>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</si>
  <si>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</si>
  <si>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</si>
  <si>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</si>
  <si>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</si>
  <si>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</si>
  <si>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</si>
  <si>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</si>
  <si>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</si>
  <si>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</si>
  <si>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</si>
  <si>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</si>
  <si>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</si>
  <si>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</si>
  <si>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</si>
  <si>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</si>
  <si>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</si>
  <si>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</si>
  <si>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</si>
  <si>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</si>
  <si>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</si>
  <si>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</si>
  <si>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</si>
  <si>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</si>
  <si>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</si>
  <si>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</si>
  <si>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</si>
  <si>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</si>
  <si>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</si>
  <si>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</si>
  <si>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</si>
  <si>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</si>
  <si>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</si>
  <si>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</si>
  <si>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</si>
  <si>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</si>
  <si>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</si>
  <si>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</si>
  <si>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</si>
  <si>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</si>
  <si>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</si>
  <si>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</si>
  <si>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</si>
  <si>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</si>
  <si>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</si>
  <si>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</si>
  <si>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</si>
  <si>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</si>
  <si>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</si>
  <si>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</si>
  <si>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</si>
  <si>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</si>
  <si>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</si>
  <si>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</si>
  <si>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</si>
  <si>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</si>
  <si>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</si>
  <si>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</si>
  <si>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</si>
  <si>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</si>
  <si>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</si>
  <si>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</si>
  <si>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</si>
  <si>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</si>
  <si>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</si>
  <si>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</si>
  <si>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</si>
  <si>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</si>
  <si>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</si>
  <si>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</si>
  <si>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</si>
  <si>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</si>
  <si>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</si>
  <si>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</si>
  <si>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</si>
  <si>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</si>
  <si>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</si>
  <si>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</si>
  <si>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</si>
  <si>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</si>
  <si>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</si>
  <si>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</si>
  <si>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</si>
  <si>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</si>
  <si>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</si>
  <si>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</si>
  <si>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</si>
  <si>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</si>
  <si>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</si>
  <si>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</si>
  <si>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</si>
  <si>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</si>
  <si>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</si>
  <si>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</si>
  <si>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</si>
  <si>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</si>
  <si>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</si>
  <si>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</si>
  <si>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</si>
  <si>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</si>
  <si>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</si>
  <si>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</si>
  <si>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</si>
  <si>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</si>
  <si>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</si>
  <si>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</si>
  <si>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</si>
  <si>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</si>
  <si>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</si>
  <si>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</si>
  <si>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</si>
  <si>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</si>
  <si>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</si>
  <si>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</si>
  <si>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</si>
  <si>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</si>
  <si>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</si>
  <si>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</si>
  <si>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</si>
  <si>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</si>
  <si>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</si>
  <si>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</si>
  <si>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</si>
  <si>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</si>
  <si>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</si>
  <si>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</si>
  <si>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</si>
  <si>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</si>
  <si>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</si>
  <si>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</si>
  <si>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</si>
  <si>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</si>
  <si>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</si>
  <si>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</si>
  <si>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</si>
  <si>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</si>
  <si>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</si>
  <si>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</si>
  <si>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</si>
  <si>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</si>
  <si>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</si>
  <si>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</si>
  <si>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</si>
  <si>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</si>
  <si>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</si>
  <si>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</si>
  <si>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</si>
  <si>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</si>
  <si>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</si>
  <si>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</si>
  <si>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</si>
  <si>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</si>
  <si>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</si>
  <si>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</si>
  <si>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</si>
  <si>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</si>
  <si>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</si>
  <si>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</si>
  <si>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</si>
  <si>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</si>
  <si>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</si>
  <si>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</si>
  <si>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</si>
  <si>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</si>
  <si>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</si>
  <si>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</si>
  <si>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</si>
  <si>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</si>
  <si>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</si>
  <si>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</si>
  <si>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</si>
  <si>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</si>
  <si>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</si>
  <si>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</si>
  <si>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</si>
  <si>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</si>
  <si>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</si>
  <si>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</si>
  <si>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</si>
  <si>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</si>
  <si>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</si>
  <si>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</si>
  <si>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</si>
  <si>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</si>
  <si>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</si>
  <si>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</si>
  <si>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</si>
  <si>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</si>
  <si>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</si>
  <si>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</si>
  <si>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</si>
  <si>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</si>
  <si>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</si>
  <si>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</si>
  <si>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</si>
  <si>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</si>
  <si>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</si>
  <si>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</si>
  <si>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</si>
  <si>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</si>
  <si>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</si>
  <si>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</si>
  <si>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</si>
  <si>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</si>
  <si>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</si>
  <si>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</si>
  <si>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</si>
  <si>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</si>
  <si>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</si>
  <si>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</si>
  <si>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</si>
  <si>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</si>
  <si>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</si>
  <si>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</si>
  <si>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</si>
  <si>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</si>
  <si>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</si>
  <si>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</si>
  <si>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</si>
  <si>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</si>
  <si>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</si>
  <si>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</si>
  <si>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</si>
  <si>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</si>
  <si>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</si>
  <si>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</si>
  <si>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</si>
  <si>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</si>
  <si>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</si>
  <si>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</si>
  <si>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</si>
  <si>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</si>
  <si>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</si>
  <si>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</si>
  <si>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</si>
  <si>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</si>
  <si>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</si>
  <si>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</si>
  <si>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</si>
  <si>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</si>
  <si>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</si>
  <si>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</si>
  <si>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</si>
  <si>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</si>
  <si>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</si>
  <si>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</si>
  <si>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</si>
  <si>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</si>
  <si>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</si>
  <si>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</si>
  <si>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</si>
  <si>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</si>
  <si>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</si>
  <si>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</si>
  <si>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</si>
  <si>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</si>
  <si>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</si>
  <si>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</si>
  <si>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</si>
  <si>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</si>
  <si>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</si>
  <si>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</si>
  <si>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</si>
  <si>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</si>
  <si>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</si>
  <si>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</si>
  <si>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</si>
  <si>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</si>
  <si>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</si>
  <si>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</si>
  <si>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</si>
  <si>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</si>
  <si>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</si>
  <si>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</si>
  <si>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</si>
  <si>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</si>
  <si>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</si>
  <si>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</si>
  <si>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</si>
  <si>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</si>
  <si>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</si>
  <si>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</si>
  <si>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</si>
  <si>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</si>
  <si>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</si>
  <si>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</si>
  <si>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</si>
  <si>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</si>
  <si>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</si>
  <si>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</si>
  <si>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</si>
  <si>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</si>
  <si>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</si>
  <si>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</si>
  <si>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</si>
  <si>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</si>
  <si>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</si>
  <si>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</si>
  <si>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</si>
  <si>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</si>
  <si>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</si>
  <si>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</si>
  <si>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</si>
  <si>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</si>
  <si>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</si>
  <si>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</si>
  <si>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</si>
  <si>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</si>
  <si>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</si>
  <si>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</si>
  <si>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</si>
  <si>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</si>
  <si>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</si>
  <si>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</si>
  <si>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</si>
  <si>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</si>
  <si>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</si>
  <si>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</si>
  <si>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</si>
  <si>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</si>
  <si>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</si>
  <si>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</si>
  <si>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</si>
  <si>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</si>
  <si>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</si>
  <si>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</si>
  <si>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</si>
  <si>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</si>
  <si>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</si>
  <si>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</si>
  <si>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</si>
  <si>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</si>
  <si>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</si>
  <si>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</si>
  <si>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</si>
  <si>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</si>
  <si>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</si>
  <si>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</si>
  <si>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</si>
  <si>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</si>
  <si>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</si>
  <si>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</si>
  <si>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</si>
  <si>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</si>
  <si>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</si>
  <si>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</si>
  <si>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</si>
  <si>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</si>
  <si>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</si>
  <si>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</si>
  <si>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</si>
  <si>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</si>
  <si>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</si>
  <si>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</si>
  <si>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</si>
  <si>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</si>
  <si>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</si>
  <si>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</si>
  <si>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</si>
  <si>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</si>
  <si>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</si>
  <si>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</si>
  <si>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</si>
  <si>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</si>
  <si>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</si>
  <si>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</si>
  <si>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</si>
  <si>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</si>
  <si>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</si>
  <si>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</si>
  <si>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</si>
  <si>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</si>
  <si>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</si>
  <si>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</si>
  <si>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</si>
  <si>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</si>
  <si>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</si>
  <si>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</si>
  <si>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</si>
  <si>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</si>
  <si>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</si>
  <si>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</si>
  <si>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</si>
  <si>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</si>
  <si>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</si>
  <si>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</si>
  <si>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</si>
  <si>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</si>
  <si>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</si>
  <si>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</si>
  <si>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</si>
  <si>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</si>
  <si>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</si>
  <si>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</si>
  <si>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</si>
  <si>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</si>
  <si>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</si>
  <si>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</si>
  <si>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</si>
  <si>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</si>
  <si>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</si>
  <si>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</si>
  <si>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</si>
  <si>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</si>
  <si>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</si>
  <si>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</si>
  <si>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</si>
  <si>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</si>
  <si>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</si>
  <si>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</si>
  <si>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</si>
  <si>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</si>
  <si>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</si>
  <si>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</si>
  <si>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</si>
  <si>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</si>
  <si>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</si>
  <si>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</si>
  <si>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</si>
  <si>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</si>
  <si>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</si>
  <si>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</si>
  <si>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</si>
  <si>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</si>
  <si>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</si>
  <si>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</si>
  <si>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</si>
  <si>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</si>
  <si>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</si>
  <si>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</si>
  <si>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</si>
  <si>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</si>
  <si>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</si>
  <si>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</si>
  <si>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</si>
  <si>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</si>
  <si>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</si>
  <si>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</si>
  <si>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</si>
  <si>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</si>
  <si>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</si>
  <si>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</si>
  <si>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</si>
  <si>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</si>
  <si>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</si>
  <si>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</si>
  <si>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</si>
  <si>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</si>
  <si>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</si>
  <si>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</si>
  <si>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</si>
  <si>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</si>
  <si>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</si>
  <si>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</si>
  <si>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</si>
  <si>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</si>
  <si>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</si>
  <si>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</si>
  <si>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</si>
  <si>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</si>
  <si>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</si>
  <si>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</si>
  <si>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</si>
  <si>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</si>
  <si>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</si>
  <si>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</si>
  <si>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</si>
  <si>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</si>
  <si>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</si>
  <si>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</si>
  <si>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</si>
  <si>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</si>
  <si>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</si>
  <si>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</si>
  <si>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</si>
  <si>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</si>
  <si>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</si>
  <si>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</si>
  <si>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</si>
  <si>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</si>
  <si>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</si>
  <si>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</si>
  <si>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</si>
  <si>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</si>
  <si>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</si>
  <si>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</si>
  <si>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</si>
  <si>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</si>
  <si>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</si>
  <si>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</si>
  <si>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</si>
  <si>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</si>
  <si>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</si>
  <si>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</si>
  <si>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</si>
  <si>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</si>
  <si>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</si>
  <si>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</si>
  <si>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</si>
  <si>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</si>
  <si>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</si>
  <si>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</si>
  <si>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</si>
  <si>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</si>
  <si>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</si>
  <si>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</si>
  <si>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</si>
  <si>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</si>
  <si>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</si>
  <si>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</si>
  <si>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</si>
  <si>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</si>
  <si>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</si>
  <si>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</si>
  <si>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</si>
  <si>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</si>
  <si>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</si>
  <si>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</si>
  <si>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</si>
  <si>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</si>
  <si>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</si>
  <si>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</si>
  <si>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</si>
  <si>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</si>
  <si>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</si>
  <si>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</si>
  <si>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</si>
  <si>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</si>
  <si>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</si>
  <si>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</si>
  <si>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</si>
  <si>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</si>
  <si>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</si>
  <si>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</si>
  <si>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</si>
  <si>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</si>
  <si>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</si>
  <si>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</si>
  <si>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</si>
  <si>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</si>
  <si>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</si>
  <si>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</si>
  <si>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</si>
  <si>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</si>
  <si>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</si>
  <si>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</si>
  <si>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</si>
  <si>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</si>
  <si>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</si>
  <si>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</si>
  <si>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</si>
  <si>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</si>
  <si>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</si>
  <si>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</si>
  <si>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</si>
  <si>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</si>
  <si>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</si>
  <si>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</si>
  <si>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</si>
  <si>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</si>
  <si>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</si>
  <si>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</si>
  <si>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</si>
  <si>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</si>
  <si>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</si>
  <si>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</si>
  <si>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</si>
  <si>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</si>
  <si>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</si>
  <si>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</si>
  <si>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</si>
  <si>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</si>
  <si>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</si>
  <si>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</si>
  <si>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</si>
  <si>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</si>
  <si>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</si>
  <si>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</si>
  <si>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</si>
  <si>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</si>
  <si>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</si>
  <si>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</si>
  <si>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</si>
  <si>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</si>
  <si>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</si>
  <si>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</si>
  <si>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</si>
  <si>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</si>
  <si>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</si>
  <si>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</si>
  <si>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</si>
  <si>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</si>
  <si>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</si>
  <si>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</si>
  <si>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</si>
  <si>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</si>
  <si>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</si>
  <si>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</si>
  <si>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</si>
  <si>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</si>
  <si>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</si>
  <si>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</si>
  <si>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</si>
  <si>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</si>
  <si>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</si>
  <si>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</si>
  <si>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</si>
  <si>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</si>
  <si>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</si>
  <si>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</si>
  <si>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</si>
  <si>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</si>
  <si>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</si>
  <si>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</si>
  <si>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</si>
  <si>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</si>
  <si>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</si>
  <si>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</si>
  <si>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</si>
  <si>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</si>
  <si>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</si>
  <si>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</si>
  <si>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</si>
  <si>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</si>
  <si>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</si>
  <si>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</si>
  <si>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</si>
  <si>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</si>
  <si>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</si>
  <si>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</si>
  <si>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</si>
  <si>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</si>
  <si>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</si>
  <si>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</si>
  <si>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</si>
  <si>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</si>
  <si>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</si>
  <si>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</si>
  <si>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</si>
  <si>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</si>
  <si>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</si>
  <si>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</si>
  <si>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</si>
  <si>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</si>
  <si>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</si>
  <si>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</si>
  <si>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</si>
  <si>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</si>
  <si>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</si>
  <si>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</si>
  <si>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</si>
  <si>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</si>
  <si>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</si>
  <si>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</si>
  <si>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</si>
  <si>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</si>
  <si>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</si>
  <si>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</si>
  <si>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</si>
  <si>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</si>
  <si>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</si>
  <si>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</si>
  <si>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</si>
  <si>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</si>
  <si>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</si>
  <si>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</si>
  <si>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</si>
  <si>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</si>
  <si>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</si>
  <si>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</si>
  <si>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</si>
  <si>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</si>
  <si>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BARCELONA</t>
  </si>
  <si>
    <t>Resumenes por Partidos Judiciales</t>
  </si>
  <si>
    <t>GRANOLLERS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</si>
</sst>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7gTMIDOvjCP8ThTb4c89/77q+/UjluglDjvcnvlI++s7G7hwe8+8dAPQXYtzpd+qkiDrT7+6e9e8qN9mWAvKgw==" saltValue="NAw8HMjkfZrZCQcVWA8i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8</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30.543721633888048</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78</v>
      </c>
      <c r="D10" s="228">
        <f>IF(ISNUMBER(Datos!I10),Datos!I10," - ")</f>
        <v>78</v>
      </c>
      <c r="E10" s="229">
        <f>IF(ISNUMBER(Datos!J10),Datos!J10," - ")</f>
        <v>45</v>
      </c>
      <c r="F10" s="229">
        <f>IF(ISNUMBER(Datos!K10),Datos!K10," - ")</f>
        <v>28</v>
      </c>
      <c r="G10" s="1037" t="str">
        <f>IF(Datos!E10&lt;&gt;"",Datos!E10,Datos!D10)</f>
        <v>37</v>
      </c>
      <c r="H10" s="230">
        <f>IF(ISNUMBER(Datos!L10),Datos!L10," - ")</f>
        <v>95</v>
      </c>
      <c r="I10" s="1047" t="str">
        <f>IF(ISNUMBER(Datos!AS10/Datos!BM10),Datos!AS10/Datos!BM10," - ")</f>
        <v xml:space="preserve"> - </v>
      </c>
      <c r="J10" s="1048">
        <f>IF(ISNUMBER(Datos!BY10/Datos!CN10),Datos!BY10/Datos!CN10," - ")</f>
        <v>0</v>
      </c>
      <c r="K10" s="233">
        <f t="shared" ref="K10:K12" si="1">IF(ISNUMBER((E10-F10)/C10),(E10-F10)/C10," - ")</f>
        <v>0.21794871794871795</v>
      </c>
      <c r="L10" s="1028">
        <f>IF(ISNUMBER(NºAsuntos!I10/NºAsuntos!G10),(NºAsuntos!I10/NºAsuntos!G10)*11," - ")</f>
        <v>37.321428571428569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14.923900118906063</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78</v>
      </c>
      <c r="D13" s="1052">
        <f>SUBTOTAL(9,D9:D12)</f>
        <v>78</v>
      </c>
      <c r="E13" s="1053">
        <f>SUBTOTAL(9,E9:E12)</f>
        <v>45</v>
      </c>
      <c r="F13" s="1054">
        <f>SUBTOTAL(9,F9:F12)</f>
        <v>28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6603</v>
      </c>
      <c r="D15" s="228">
        <f>IF(ISNUMBER(IF(D_I="SI",Datos!I15,Datos!I15+Datos!AC15)),IF(D_I="SI",Datos!I15,Datos!I15+Datos!AC15)," - ")</f>
        <v>6639</v>
      </c>
      <c r="E15" s="229">
        <f>IF(ISNUMBER(IF(D_I="SI",Datos!J15,Datos!J15+Datos!AD15)),IF(D_I="SI",Datos!J15,Datos!J15+Datos!AD15)," - ")</f>
        <v>4041</v>
      </c>
      <c r="F15" s="229">
        <f>IF(ISNUMBER(IF(D_I="SI",Datos!K15,Datos!K15+Datos!AE15)),IF(D_I="SI",Datos!K15,Datos!K15+Datos!AE15)," - ")</f>
        <v>3810</v>
      </c>
      <c r="G15" s="1037" t="str">
        <f>IF(Datos!E15&lt;&gt;"",Datos!E15,Datos!D15)</f>
        <v>03</v>
      </c>
      <c r="H15" s="230">
        <f>IF(ISNUMBER(IF(D_I="SI",Datos!L15,Datos!L15+Datos!AF15)),IF(D_I="SI",Datos!L15,Datos!L15+Datos!AF15)," - ")</f>
        <v>6834</v>
      </c>
      <c r="I15" s="1047" t="str">
        <f>IF(ISNUMBER(Datos!AS15/Datos!BM15),Datos!AS15/Datos!BM15," - ")</f>
        <v xml:space="preserve"> - </v>
      </c>
      <c r="J15" s="1048">
        <f>IF(ISNUMBER(Datos!BY15/Datos!CN15),Datos!BY15/Datos!CN15," - ")</f>
        <v>0</v>
      </c>
      <c r="K15" s="233">
        <f t="shared" ref="K15:K17" si="3">IF(ISNUMBER((E15-F15)/C15),(E15-F15)/C15," - ")</f>
        <v>3.4984098137210359E-2</v>
      </c>
      <c r="L15" s="1028">
        <f>IF(ISNUMBER(NºAsuntos!I15/NºAsuntos!G15),(NºAsuntos!I15/NºAsuntos!G15)*11," - ")</f>
        <v>19.730708661417324</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131</v>
      </c>
      <c r="D17" s="228">
        <f>IF(ISNUMBER(IF(D_I="SI",Datos!I17,Datos!I17+Datos!AC17)),IF(D_I="SI",Datos!I17,Datos!I17+Datos!AC17)," - ")</f>
        <v>131</v>
      </c>
      <c r="E17" s="229">
        <f>IF(ISNUMBER(IF(D_I="SI",Datos!J17,Datos!J17+Datos!AD17)),IF(D_I="SI",Datos!J17,Datos!J17+Datos!AD17)," - ")</f>
        <v>254</v>
      </c>
      <c r="F17" s="229">
        <f>IF(ISNUMBER(IF(D_I="SI",Datos!K17,Datos!K17+Datos!AE17)),IF(D_I="SI",Datos!K17,Datos!K17+Datos!AE17)," - ")</f>
        <v>222</v>
      </c>
      <c r="G17" s="1037" t="str">
        <f>IF(Datos!E17&lt;&gt;"",Datos!E17,Datos!D17)</f>
        <v>37</v>
      </c>
      <c r="H17" s="230">
        <f>IF(ISNUMBER(IF(D_I="SI",Datos!L17,Datos!L17+Datos!AF17)),IF(D_I="SI",Datos!L17,Datos!L17+Datos!AF17)," - ")</f>
        <v>163</v>
      </c>
      <c r="I17" s="1047" t="str">
        <f>IF(ISNUMBER(Datos!AS17/Datos!BM17),Datos!AS17/Datos!BM17," - ")</f>
        <v xml:space="preserve"> - </v>
      </c>
      <c r="J17" s="1048" t="str">
        <f>IF(ISNUMBER((Datos!BY17+Datos!BZ17)/Datos!CN17),(Datos!BY17+Datos!BZ17)/Datos!CN17," - ")</f>
        <v xml:space="preserve"> - </v>
      </c>
      <c r="K17" s="233">
        <f t="shared" si="3"/>
        <v>0.24427480916030533</v>
      </c>
      <c r="L17" s="1028">
        <f>IF(ISNUMBER(NºAsuntos!I17/NºAsuntos!G17),(NºAsuntos!I17/NºAsuntos!G17)*11," - ")</f>
        <v>8.0765765765765778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6734</v>
      </c>
      <c r="D18" s="1052">
        <f>SUBTOTAL(9,D15:D17)</f>
        <v>6770</v>
      </c>
      <c r="E18" s="1053">
        <f>SUBTOTAL(9,E15:E17)</f>
        <v>4295</v>
      </c>
      <c r="F18" s="1053">
        <f>SUBTOTAL(9,F15:F17)</f>
        <v>4032</v>
      </c>
      <c r="G18" s="1055" t="str">
        <f ca="1">INDIRECT(CONCATENATE("G",ROW()-1))</f>
        <v>37</v>
      </c>
      <c r="H18" s="1056">
        <f ca="1">SUMIF(G$14:G17,G18,H$14:H17)</f>
        <v>163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6812</v>
      </c>
      <c r="D19" s="1074">
        <f>SUBTOTAL(9,D9:D18)</f>
        <v>6848</v>
      </c>
      <c r="E19" s="1075">
        <f>SUBTOTAL(9,E9:E18)</f>
        <v>4340</v>
      </c>
      <c r="F19" s="1075">
        <f>SUBTOTAL(9,F9:F18)</f>
        <v>4060</v>
      </c>
      <c r="G19" s="1076"/>
      <c r="H19" s="1077">
        <f ca="1">SUMIF(B9:B18,"TOTAL",H9:H18)</f>
        <v>163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MPjq0wBxxu3vcXlHkBmyRzpjTHQDNaSSBkbuPR8TKhxVFR1Z44AX0GxqheB0K2YpZ3dyW2mwQIkS2vqqU9Bi2g==" saltValue="hX7D4lJRE1prhihAQNxYi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1A+BZZOoTyPoHKTod9nMNK3PyT1SLC9RyYPXfh6kG6aIFjETizwNu7upyKAPQbbwo+CsJPdsyOL2h7oaxghcEw==" saltValue="wjNC2irJNxopRer5ChXt5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9048</v>
      </c>
      <c r="J9" s="184">
        <v>3316</v>
      </c>
      <c r="K9" s="184">
        <v>3187</v>
      </c>
      <c r="L9" s="184">
        <v>9051</v>
      </c>
      <c r="M9" s="184">
        <v>745</v>
      </c>
      <c r="N9" s="184">
        <v>1399</v>
      </c>
      <c r="O9" s="184">
        <v>1848</v>
      </c>
      <c r="P9" s="184">
        <v>1064</v>
      </c>
      <c r="Q9" s="184">
        <v>907</v>
      </c>
      <c r="R9" s="184">
        <v>14435</v>
      </c>
      <c r="S9" s="184">
        <v>9034</v>
      </c>
      <c r="T9" s="184">
        <v>3257</v>
      </c>
      <c r="U9" s="184">
        <v>3521</v>
      </c>
      <c r="V9" s="184">
        <v>8671</v>
      </c>
      <c r="W9" s="184">
        <v>831</v>
      </c>
      <c r="X9" s="191">
        <v>1496</v>
      </c>
      <c r="Y9" s="194">
        <v>103</v>
      </c>
      <c r="Z9" s="184">
        <v>120</v>
      </c>
      <c r="AA9" s="184">
        <v>118</v>
      </c>
      <c r="AB9" s="184">
        <v>126</v>
      </c>
      <c r="AC9" s="184">
        <v>0</v>
      </c>
      <c r="AD9" s="184">
        <v>0</v>
      </c>
      <c r="AE9" s="184">
        <v>0</v>
      </c>
      <c r="AF9" s="191">
        <v>0</v>
      </c>
      <c r="AG9" s="194">
        <v>94</v>
      </c>
      <c r="AH9" s="184">
        <v>135</v>
      </c>
      <c r="AI9" s="184">
        <v>131</v>
      </c>
      <c r="AJ9" s="195">
        <v>102</v>
      </c>
      <c r="AK9" s="183">
        <v>0</v>
      </c>
      <c r="AL9" s="184">
        <v>0</v>
      </c>
      <c r="AM9" s="184">
        <v>0</v>
      </c>
      <c r="AN9" s="191">
        <v>0</v>
      </c>
      <c r="AO9" s="261">
        <v>8</v>
      </c>
      <c r="AP9" s="157">
        <v>8</v>
      </c>
      <c r="AQ9" s="157">
        <v>8</v>
      </c>
      <c r="AR9" s="196">
        <v>8</v>
      </c>
      <c r="AS9" s="341" t="s">
        <v>804</v>
      </c>
      <c r="AT9" s="198"/>
      <c r="AU9" s="197"/>
      <c r="AV9" s="198"/>
      <c r="AW9" s="197"/>
      <c r="AX9" s="198"/>
      <c r="AY9" s="123">
        <f>IF(ISNUMBER(IF(J_V="SI",S9,S9+AG9)),IF(J_V="SI",S9,S9+AG9)," - ")</f>
        <v>9128</v>
      </c>
      <c r="AZ9" s="123">
        <f>IF(ISNUMBER(IF(J_V="SI",T9,T9+AH9)),IF(J_V="SI",T9,T9+AH9)," - ")</f>
        <v>3392</v>
      </c>
      <c r="BA9" s="124">
        <f>IF(ISNUMBER(IF(J_V="SI",U9,U9+AI9)),IF(J_V="SI",U9,U9+AI9)," - ")</f>
        <v>3652</v>
      </c>
      <c r="BB9" s="124">
        <f>IF(ISNUMBER(IF(J_V="SI",V9,V9+AJ9)),IF(J_V="SI",V9,V9+AJ9)," - ")</f>
        <v>8773</v>
      </c>
      <c r="BC9" s="125">
        <f>IF(ISNUMBER(X9),X9," - ")</f>
        <v>1496</v>
      </c>
      <c r="BD9" s="126">
        <f>IF(ISNUMBER(BA9/AZ9),BA9/AZ9," - ")</f>
        <v>1.0766509433962264</v>
      </c>
      <c r="BE9" s="127">
        <f>IF(ISNUMBER(BB9/BA9),BB9/BA9, " - ")</f>
        <v>2.4022453450164294</v>
      </c>
      <c r="BF9" s="127">
        <f>IF(ISNUMBER(BC9/BA9),BC9/BA9, " - ")</f>
        <v>0.40963855421686746</v>
      </c>
      <c r="BG9" s="199">
        <f>IF(ISNUMBER((AY9+AZ9)/BA9),(AY9+AZ9)/BA9," - ")</f>
        <v>3.4282584884994525</v>
      </c>
      <c r="BH9" s="157">
        <v>7</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78</v>
      </c>
      <c r="J10" s="184">
        <v>45</v>
      </c>
      <c r="K10" s="184">
        <v>28</v>
      </c>
      <c r="L10" s="184">
        <v>95</v>
      </c>
      <c r="M10" s="184">
        <v>12</v>
      </c>
      <c r="N10" s="184">
        <v>9</v>
      </c>
      <c r="O10" s="184">
        <v>0</v>
      </c>
      <c r="P10" s="184">
        <v>8</v>
      </c>
      <c r="Q10" s="184">
        <v>0</v>
      </c>
      <c r="R10" s="184">
        <v>104</v>
      </c>
      <c r="S10" s="184">
        <v>77</v>
      </c>
      <c r="T10" s="184">
        <v>56</v>
      </c>
      <c r="U10" s="184">
        <v>36</v>
      </c>
      <c r="V10" s="184">
        <v>97</v>
      </c>
      <c r="W10" s="184">
        <v>12</v>
      </c>
      <c r="X10" s="191">
        <v>20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77</v>
      </c>
      <c r="AZ10" s="129">
        <f t="shared" si="0"/>
        <v>56</v>
      </c>
      <c r="BA10" s="129">
        <f t="shared" si="0"/>
        <v>36</v>
      </c>
      <c r="BB10" s="129">
        <f t="shared" si="0"/>
        <v>97</v>
      </c>
      <c r="BC10" s="125">
        <f t="shared" si="0"/>
        <v>12</v>
      </c>
      <c r="BD10" s="126">
        <f>IF(ISNUMBER(BA10/AZ10),BA10/AZ10," - ")</f>
        <v>0.6428571428571429</v>
      </c>
      <c r="BE10" s="127">
        <f>IF(ISNUMBER(BB10/BA10),BB10/BA10, " - ")</f>
        <v>2.6944444444444446</v>
      </c>
      <c r="BF10" s="127">
        <f>IF(ISNUMBER(BC10/BA10),BC10/BA10, " - ")</f>
        <v>0.33333333333333331</v>
      </c>
      <c r="BG10" s="199">
        <f>IF(ISNUMBER((AY10+AZ10)/BA10),(AY10+AZ10)/BA10," - ")</f>
        <v>3.6944444444444446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1170</v>
      </c>
      <c r="J11" s="186">
        <v>528</v>
      </c>
      <c r="K11" s="186">
        <v>667</v>
      </c>
      <c r="L11" s="186">
        <v>1072</v>
      </c>
      <c r="M11" s="186">
        <v>189</v>
      </c>
      <c r="N11" s="186">
        <v>410</v>
      </c>
      <c r="O11" s="184">
        <v>136</v>
      </c>
      <c r="P11" s="186">
        <v>66</v>
      </c>
      <c r="Q11" s="186">
        <v>41</v>
      </c>
      <c r="R11" s="186">
        <v>692</v>
      </c>
      <c r="S11" s="186">
        <v>1338</v>
      </c>
      <c r="T11" s="186">
        <v>559</v>
      </c>
      <c r="U11" s="186">
        <v>610</v>
      </c>
      <c r="V11" s="186">
        <v>1287</v>
      </c>
      <c r="W11" s="186">
        <v>251</v>
      </c>
      <c r="X11" s="192">
        <v>294</v>
      </c>
      <c r="Y11" s="194">
        <v>61</v>
      </c>
      <c r="Z11" s="184">
        <v>170</v>
      </c>
      <c r="AA11" s="184">
        <v>174</v>
      </c>
      <c r="AB11" s="184">
        <v>69</v>
      </c>
      <c r="AC11" s="186">
        <v>0</v>
      </c>
      <c r="AD11" s="186">
        <v>0</v>
      </c>
      <c r="AE11" s="186">
        <v>0</v>
      </c>
      <c r="AF11" s="192">
        <v>0</v>
      </c>
      <c r="AG11" s="205">
        <v>151</v>
      </c>
      <c r="AH11" s="186">
        <v>192</v>
      </c>
      <c r="AI11" s="186">
        <v>130</v>
      </c>
      <c r="AJ11" s="206">
        <v>213</v>
      </c>
      <c r="AK11" s="185">
        <v>0</v>
      </c>
      <c r="AL11" s="186">
        <v>0</v>
      </c>
      <c r="AM11" s="186">
        <v>0</v>
      </c>
      <c r="AN11" s="192">
        <v>0</v>
      </c>
      <c r="AO11" s="262">
        <v>2</v>
      </c>
      <c r="AP11" s="158">
        <v>2</v>
      </c>
      <c r="AQ11" s="158">
        <v>2</v>
      </c>
      <c r="AR11" s="157">
        <v>2</v>
      </c>
      <c r="AS11" s="343" t="s">
        <v>806</v>
      </c>
      <c r="AT11" s="206"/>
      <c r="AU11" s="205"/>
      <c r="AV11" s="206"/>
      <c r="AW11" s="205"/>
      <c r="AX11" s="206"/>
      <c r="AY11" s="126">
        <f t="shared" ref="AY11:BB12" si="1">IF(ISNUMBER(IF(J_V="SI",S11,S11+AG11)),IF(J_V="SI",S11,S11+AG11)," - ")</f>
        <v>1489</v>
      </c>
      <c r="AZ11" s="127">
        <f t="shared" si="1"/>
        <v>751</v>
      </c>
      <c r="BA11" s="127">
        <f t="shared" si="1"/>
        <v>740</v>
      </c>
      <c r="BB11" s="127">
        <f t="shared" si="1"/>
        <v>1500</v>
      </c>
      <c r="BC11" s="125">
        <f>IF(ISNUMBER(X11),X11," - ")</f>
        <v>294</v>
      </c>
      <c r="BD11" s="126">
        <f t="shared" ref="BD11:BD12" si="2">IF(ISNUMBER(BA11/AZ11),BA11/AZ11," - ")</f>
        <v>0.98535286284953394</v>
      </c>
      <c r="BE11" s="127">
        <f t="shared" ref="BE11:BE12" si="3">IF(ISNUMBER(BB11/BA11),BB11/BA11, " - ")</f>
        <v>2.0270270270270272</v>
      </c>
      <c r="BF11" s="127">
        <f t="shared" ref="BF11:BF12" si="4">IF(ISNUMBER(BC11/BA11),BC11/BA11, " - ")</f>
        <v>0.39729729729729729</v>
      </c>
      <c r="BG11" s="199">
        <f t="shared" ref="BG11:BG12" si="5">IF(ISNUMBER((AY11+AZ11)/BA11),(AY11+AZ11)/BA11," - ")</f>
        <v>3.0270270270270272</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10296</v>
      </c>
      <c r="J13" s="187">
        <f t="shared" si="6"/>
        <v>3889</v>
      </c>
      <c r="K13" s="187">
        <f t="shared" si="6"/>
        <v>3882</v>
      </c>
      <c r="L13" s="187">
        <f t="shared" si="6"/>
        <v>10218</v>
      </c>
      <c r="M13" s="187">
        <f t="shared" si="6"/>
        <v>946</v>
      </c>
      <c r="N13" s="187">
        <f t="shared" si="6"/>
        <v>1818</v>
      </c>
      <c r="O13" s="187">
        <f t="shared" si="6"/>
        <v>1984</v>
      </c>
      <c r="P13" s="187">
        <f t="shared" si="6"/>
        <v>1138</v>
      </c>
      <c r="Q13" s="187">
        <f t="shared" si="6"/>
        <v>948</v>
      </c>
      <c r="R13" s="187">
        <f t="shared" si="6"/>
        <v>15231</v>
      </c>
      <c r="S13" s="187">
        <f t="shared" si="6"/>
        <v>10449</v>
      </c>
      <c r="T13" s="187">
        <f t="shared" si="6"/>
        <v>3872</v>
      </c>
      <c r="U13" s="187">
        <f t="shared" si="6"/>
        <v>4167</v>
      </c>
      <c r="V13" s="187">
        <f t="shared" si="6"/>
        <v>10055</v>
      </c>
      <c r="W13" s="187">
        <f t="shared" si="6"/>
        <v>1094</v>
      </c>
      <c r="X13" s="187">
        <f t="shared" si="6"/>
        <v>1810</v>
      </c>
      <c r="Y13" s="187">
        <f t="shared" si="6"/>
        <v>164</v>
      </c>
      <c r="Z13" s="187">
        <f t="shared" si="6"/>
        <v>290</v>
      </c>
      <c r="AA13" s="187">
        <f t="shared" si="6"/>
        <v>292</v>
      </c>
      <c r="AB13" s="187">
        <f t="shared" si="6"/>
        <v>195</v>
      </c>
      <c r="AC13" s="187">
        <f t="shared" si="6"/>
        <v>0</v>
      </c>
      <c r="AD13" s="187">
        <f t="shared" si="6"/>
        <v>0</v>
      </c>
      <c r="AE13" s="187">
        <f t="shared" si="6"/>
        <v>0</v>
      </c>
      <c r="AF13" s="187">
        <f>SUBTOTAL(9,AF9:AF12)</f>
        <v>0</v>
      </c>
      <c r="AG13" s="187">
        <f t="shared" ref="AG13:AT13" si="7">SUBTOTAL(9,AG8:AG12)</f>
        <v>245</v>
      </c>
      <c r="AH13" s="187">
        <f t="shared" si="7"/>
        <v>327</v>
      </c>
      <c r="AI13" s="187">
        <f t="shared" si="7"/>
        <v>261</v>
      </c>
      <c r="AJ13" s="187">
        <f t="shared" si="7"/>
        <v>315</v>
      </c>
      <c r="AK13" s="187">
        <f t="shared" si="7"/>
        <v>0</v>
      </c>
      <c r="AL13" s="187">
        <f t="shared" si="7"/>
        <v>0</v>
      </c>
      <c r="AM13" s="187">
        <f t="shared" si="7"/>
        <v>0</v>
      </c>
      <c r="AN13" s="187">
        <f t="shared" si="7"/>
        <v>0</v>
      </c>
      <c r="AO13" s="187">
        <f t="shared" si="7"/>
        <v>11</v>
      </c>
      <c r="AP13" s="187">
        <f t="shared" si="7"/>
        <v>11</v>
      </c>
      <c r="AQ13" s="187">
        <f t="shared" si="7"/>
        <v>11</v>
      </c>
      <c r="AR13" s="187">
        <f t="shared" si="7"/>
        <v>11</v>
      </c>
      <c r="AS13" s="187">
        <f t="shared" si="7"/>
        <v>0</v>
      </c>
      <c r="AT13" s="187">
        <f t="shared" si="7"/>
        <v>0</v>
      </c>
      <c r="AU13" s="207"/>
      <c r="AV13" s="132"/>
      <c r="AW13" s="207"/>
      <c r="AX13" s="132"/>
      <c r="AY13" s="187">
        <f>SUBTOTAL(9,AY8:AY12)</f>
        <v>10694</v>
      </c>
      <c r="AZ13" s="187">
        <f>SUBTOTAL(9,AZ8:AZ12)</f>
        <v>4199</v>
      </c>
      <c r="BA13" s="187">
        <f>SUBTOTAL(9,BA8:BA12)</f>
        <v>4428</v>
      </c>
      <c r="BB13" s="187">
        <f>SUBTOTAL(9,BB8:BB12)</f>
        <v>10370</v>
      </c>
      <c r="BC13" s="187">
        <f>SUBTOTAL(9,BC8:BC12)</f>
        <v>1802</v>
      </c>
      <c r="BD13" s="208">
        <f>IF(ISNUMBER(BA13/AZ13),BA13/AZ13," - ")</f>
        <v>1.0545367944748749</v>
      </c>
      <c r="BE13" s="209">
        <f>IF(ISNUMBER(BB13/BA13),BB13/BA13, " - ")</f>
        <v>2.3419150858175248</v>
      </c>
      <c r="BF13" s="209">
        <f>IF(ISNUMBER(BC13/BA13),BC13/BA13, " - ")</f>
        <v>0.40695573622402892</v>
      </c>
      <c r="BG13" s="210">
        <f>IF(ISNUMBER((AY13+AZ13)/BA13),(AY13+AZ13)/BA13," - ")</f>
        <v>3.3633694670280034</v>
      </c>
      <c r="BH13" s="143">
        <f>SUBTOTAL(9,BH8:BH12)</f>
        <v>10</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6639</v>
      </c>
      <c r="J15" s="186">
        <v>4041</v>
      </c>
      <c r="K15" s="186">
        <v>3810</v>
      </c>
      <c r="L15" s="186">
        <v>6834</v>
      </c>
      <c r="M15" s="186">
        <v>428</v>
      </c>
      <c r="N15" s="186">
        <v>2683</v>
      </c>
      <c r="O15" s="184">
        <v>35</v>
      </c>
      <c r="P15" s="186">
        <v>75</v>
      </c>
      <c r="Q15" s="186">
        <v>67</v>
      </c>
      <c r="R15" s="186">
        <v>340</v>
      </c>
      <c r="S15" s="186">
        <v>5909</v>
      </c>
      <c r="T15" s="186">
        <v>3787</v>
      </c>
      <c r="U15" s="186">
        <v>3575</v>
      </c>
      <c r="V15" s="186">
        <v>6150</v>
      </c>
      <c r="W15" s="186">
        <v>415</v>
      </c>
      <c r="X15" s="192">
        <v>2277</v>
      </c>
      <c r="Y15" s="205">
        <v>0</v>
      </c>
      <c r="Z15" s="186">
        <v>0</v>
      </c>
      <c r="AA15" s="186">
        <v>0</v>
      </c>
      <c r="AB15" s="186">
        <v>0</v>
      </c>
      <c r="AC15" s="186">
        <v>0</v>
      </c>
      <c r="AD15" s="186">
        <v>220</v>
      </c>
      <c r="AE15" s="186">
        <v>220</v>
      </c>
      <c r="AF15" s="192">
        <v>0</v>
      </c>
      <c r="AG15" s="205">
        <v>0</v>
      </c>
      <c r="AH15" s="186">
        <v>0</v>
      </c>
      <c r="AI15" s="186">
        <v>0</v>
      </c>
      <c r="AJ15" s="206">
        <v>0</v>
      </c>
      <c r="AK15" s="185">
        <v>0</v>
      </c>
      <c r="AL15" s="186">
        <v>223</v>
      </c>
      <c r="AM15" s="186">
        <v>223</v>
      </c>
      <c r="AN15" s="192">
        <v>0</v>
      </c>
      <c r="AO15" s="262">
        <v>4</v>
      </c>
      <c r="AP15" s="158">
        <v>4</v>
      </c>
      <c r="AQ15" s="158">
        <v>4</v>
      </c>
      <c r="AR15" s="158">
        <v>4</v>
      </c>
      <c r="AS15" s="343" t="s">
        <v>531</v>
      </c>
      <c r="AT15" s="206" t="s">
        <v>329</v>
      </c>
      <c r="AU15" s="205"/>
      <c r="AV15" s="206"/>
      <c r="AW15" s="205"/>
      <c r="AX15" s="206"/>
      <c r="AY15" s="128">
        <f t="shared" ref="AY15:BB16" si="9">IF(ISNUMBER(IF(D_I="SI",S15,S15+AK15)),IF(D_I="SI",S15,S15+AK15)," - ")</f>
        <v>5909</v>
      </c>
      <c r="AZ15" s="129">
        <f t="shared" si="9"/>
        <v>3787</v>
      </c>
      <c r="BA15" s="129">
        <f t="shared" si="9"/>
        <v>3575</v>
      </c>
      <c r="BB15" s="129">
        <f t="shared" si="9"/>
        <v>6150</v>
      </c>
      <c r="BC15" s="125">
        <f>IF(ISNUMBER(W15),W15," - ")</f>
        <v>415</v>
      </c>
      <c r="BD15" s="126">
        <f>IF(ISNUMBER(BA15/AZ15),BA15/AZ15," - ")</f>
        <v>0.94401901241087938</v>
      </c>
      <c r="BE15" s="127">
        <f>IF(ISNUMBER(BB15/BA15),BB15/BA15, " - ")</f>
        <v>1.7202797202797202</v>
      </c>
      <c r="BF15" s="127">
        <f>IF(ISNUMBER(BC15/BA15),BC15/BA15, " - ")</f>
        <v>0.11608391608391608</v>
      </c>
      <c r="BG15" s="199">
        <f t="shared" ref="BG15:BG16" si="10">IF(ISNUMBER((AY15+AZ15)/BA15),(AY15+AZ15)/BA15," - ")</f>
        <v>2.712167832167832</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131</v>
      </c>
      <c r="J17" s="186">
        <v>254</v>
      </c>
      <c r="K17" s="186">
        <v>222</v>
      </c>
      <c r="L17" s="186">
        <v>163</v>
      </c>
      <c r="M17" s="186">
        <v>31</v>
      </c>
      <c r="N17" s="186">
        <v>80</v>
      </c>
      <c r="O17" s="186">
        <v>0</v>
      </c>
      <c r="P17" s="186">
        <v>1</v>
      </c>
      <c r="Q17" s="186">
        <v>0</v>
      </c>
      <c r="R17" s="186">
        <v>5</v>
      </c>
      <c r="S17" s="186">
        <v>331</v>
      </c>
      <c r="T17" s="186">
        <v>278</v>
      </c>
      <c r="U17" s="186">
        <v>262</v>
      </c>
      <c r="V17" s="186">
        <v>124</v>
      </c>
      <c r="W17" s="186">
        <v>18</v>
      </c>
      <c r="X17" s="192">
        <v>96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331</v>
      </c>
      <c r="AZ17" s="129">
        <f t="shared" si="14"/>
        <v>278</v>
      </c>
      <c r="BA17" s="129">
        <f t="shared" si="14"/>
        <v>262</v>
      </c>
      <c r="BB17" s="129">
        <f t="shared" si="14"/>
        <v>124</v>
      </c>
      <c r="BC17" s="125">
        <f>IF(ISNUMBER(W17),W17," - ")</f>
        <v>18</v>
      </c>
      <c r="BD17" s="126">
        <f>IF(ISNUMBER(BA17/AZ17),BA17/AZ17," - ")</f>
        <v>0.94244604316546765</v>
      </c>
      <c r="BE17" s="127">
        <f>IF(ISNUMBER(BB17/BA17),BB17/BA17, " - ")</f>
        <v>0.47328244274809161</v>
      </c>
      <c r="BF17" s="127">
        <f>IF(ISNUMBER(BC17/BA17),BC17/BA17, " - ")</f>
        <v>6.8702290076335881E-2</v>
      </c>
      <c r="BG17" s="199">
        <f>IF(ISNUMBER((AY17+AZ17)/BA17),(AY17+AZ17)/BA17," - ")</f>
        <v>2.3244274809160306</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6770</v>
      </c>
      <c r="J18" s="187">
        <f t="shared" si="15"/>
        <v>4295</v>
      </c>
      <c r="K18" s="187">
        <f t="shared" si="15"/>
        <v>4032</v>
      </c>
      <c r="L18" s="187">
        <f t="shared" si="15"/>
        <v>6997</v>
      </c>
      <c r="M18" s="187">
        <f t="shared" si="15"/>
        <v>459</v>
      </c>
      <c r="N18" s="187">
        <f t="shared" si="15"/>
        <v>2763</v>
      </c>
      <c r="O18" s="187">
        <f t="shared" si="15"/>
        <v>35</v>
      </c>
      <c r="P18" s="187">
        <f t="shared" si="15"/>
        <v>76</v>
      </c>
      <c r="Q18" s="187">
        <f t="shared" si="15"/>
        <v>67</v>
      </c>
      <c r="R18" s="187">
        <f t="shared" si="15"/>
        <v>345</v>
      </c>
      <c r="S18" s="187">
        <f t="shared" si="15"/>
        <v>6240</v>
      </c>
      <c r="T18" s="187">
        <f t="shared" si="15"/>
        <v>4065</v>
      </c>
      <c r="U18" s="187">
        <f t="shared" si="15"/>
        <v>3837</v>
      </c>
      <c r="V18" s="187">
        <f t="shared" si="15"/>
        <v>6274</v>
      </c>
      <c r="W18" s="187">
        <f t="shared" si="15"/>
        <v>433</v>
      </c>
      <c r="X18" s="187">
        <f t="shared" si="15"/>
        <v>2373</v>
      </c>
      <c r="Y18" s="187">
        <f t="shared" si="15"/>
        <v>0</v>
      </c>
      <c r="Z18" s="187">
        <f t="shared" si="15"/>
        <v>0</v>
      </c>
      <c r="AA18" s="187">
        <f t="shared" si="15"/>
        <v>0</v>
      </c>
      <c r="AB18" s="187">
        <f t="shared" si="15"/>
        <v>0</v>
      </c>
      <c r="AC18" s="187">
        <f t="shared" si="15"/>
        <v>0</v>
      </c>
      <c r="AD18" s="187">
        <f t="shared" si="15"/>
        <v>220</v>
      </c>
      <c r="AE18" s="187">
        <f t="shared" si="15"/>
        <v>220</v>
      </c>
      <c r="AF18" s="187">
        <f t="shared" si="15"/>
        <v>0</v>
      </c>
      <c r="AG18" s="187">
        <f t="shared" si="15"/>
        <v>0</v>
      </c>
      <c r="AH18" s="187">
        <f t="shared" si="15"/>
        <v>0</v>
      </c>
      <c r="AI18" s="187">
        <f t="shared" si="15"/>
        <v>0</v>
      </c>
      <c r="AJ18" s="187">
        <f t="shared" si="15"/>
        <v>0</v>
      </c>
      <c r="AK18" s="187">
        <f t="shared" si="15"/>
        <v>0</v>
      </c>
      <c r="AL18" s="187">
        <f t="shared" si="15"/>
        <v>223</v>
      </c>
      <c r="AM18" s="187">
        <f t="shared" si="15"/>
        <v>223</v>
      </c>
      <c r="AN18" s="187">
        <f t="shared" si="15"/>
        <v>0</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6240</v>
      </c>
      <c r="AZ18" s="187">
        <f>SUBTOTAL(9,AZ14:AZ17)</f>
        <v>4065</v>
      </c>
      <c r="BA18" s="187">
        <f>SUBTOTAL(9,BA14:BA17)</f>
        <v>3837</v>
      </c>
      <c r="BB18" s="187">
        <f>SUBTOTAL(9,BB14:BB17)</f>
        <v>6274</v>
      </c>
      <c r="BC18" s="187">
        <f>SUBTOTAL(9,BC14:BC17)</f>
        <v>433</v>
      </c>
      <c r="BD18" s="208">
        <f>IF(ISNUMBER(BA18/AZ18),BA18/AZ18," - ")</f>
        <v>0.94391143911439113</v>
      </c>
      <c r="BE18" s="209">
        <f>IF(ISNUMBER(BB18/BA18),BB18/BA18, " - ")</f>
        <v>1.63513161323951</v>
      </c>
      <c r="BF18" s="209">
        <f>IF(ISNUMBER(BC18/BA18),BC18/BA18, " - ")</f>
        <v>0.11284857961949439</v>
      </c>
      <c r="BG18" s="210">
        <f>IF(ISNUMBER((AY18+AZ18)/BA18),(AY18+AZ18)/BA18," - ")</f>
        <v>2.6856919468334635</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17066</v>
      </c>
      <c r="J19" s="134">
        <f t="shared" si="18"/>
        <v>8184</v>
      </c>
      <c r="K19" s="134">
        <f t="shared" si="18"/>
        <v>7914</v>
      </c>
      <c r="L19" s="134">
        <f t="shared" si="18"/>
        <v>17215</v>
      </c>
      <c r="M19" s="134">
        <f t="shared" si="18"/>
        <v>1405</v>
      </c>
      <c r="N19" s="134">
        <f t="shared" si="18"/>
        <v>4581</v>
      </c>
      <c r="O19" s="134">
        <f t="shared" si="18"/>
        <v>2019</v>
      </c>
      <c r="P19" s="134">
        <f t="shared" si="18"/>
        <v>1214</v>
      </c>
      <c r="Q19" s="134">
        <f t="shared" si="18"/>
        <v>1015</v>
      </c>
      <c r="R19" s="134">
        <f t="shared" si="18"/>
        <v>15576</v>
      </c>
      <c r="S19" s="134">
        <f t="shared" si="18"/>
        <v>16689</v>
      </c>
      <c r="T19" s="134">
        <f t="shared" si="18"/>
        <v>7937</v>
      </c>
      <c r="U19" s="134">
        <f t="shared" si="18"/>
        <v>8004</v>
      </c>
      <c r="V19" s="134">
        <f t="shared" si="18"/>
        <v>16329</v>
      </c>
      <c r="W19" s="134">
        <f t="shared" si="18"/>
        <v>1527</v>
      </c>
      <c r="X19" s="134">
        <f t="shared" si="18"/>
        <v>4183</v>
      </c>
      <c r="Y19" s="134">
        <f t="shared" si="18"/>
        <v>164</v>
      </c>
      <c r="Z19" s="134">
        <f t="shared" si="18"/>
        <v>290</v>
      </c>
      <c r="AA19" s="134">
        <f t="shared" si="18"/>
        <v>292</v>
      </c>
      <c r="AB19" s="134">
        <f t="shared" si="18"/>
        <v>195</v>
      </c>
      <c r="AC19" s="134">
        <f t="shared" si="18"/>
        <v>0</v>
      </c>
      <c r="AD19" s="134">
        <f t="shared" si="18"/>
        <v>220</v>
      </c>
      <c r="AE19" s="134">
        <f t="shared" si="18"/>
        <v>220</v>
      </c>
      <c r="AF19" s="134">
        <f t="shared" si="18"/>
        <v>0</v>
      </c>
      <c r="AG19" s="134">
        <f t="shared" si="18"/>
        <v>245</v>
      </c>
      <c r="AH19" s="134">
        <f t="shared" si="18"/>
        <v>327</v>
      </c>
      <c r="AI19" s="134">
        <f t="shared" si="18"/>
        <v>261</v>
      </c>
      <c r="AJ19" s="134">
        <f t="shared" si="18"/>
        <v>315</v>
      </c>
      <c r="AK19" s="134">
        <f t="shared" si="18"/>
        <v>0</v>
      </c>
      <c r="AL19" s="134">
        <f t="shared" si="18"/>
        <v>223</v>
      </c>
      <c r="AM19" s="134">
        <f t="shared" si="18"/>
        <v>223</v>
      </c>
      <c r="AN19" s="213">
        <f t="shared" si="18"/>
        <v>0</v>
      </c>
      <c r="AO19" s="214">
        <v>15</v>
      </c>
      <c r="AP19" s="214">
        <v>15</v>
      </c>
      <c r="AQ19" s="214">
        <v>15</v>
      </c>
      <c r="AR19" s="214">
        <v>15</v>
      </c>
      <c r="AS19" s="156">
        <f t="shared" si="18"/>
        <v>0</v>
      </c>
      <c r="AT19" s="156">
        <f t="shared" si="18"/>
        <v>0</v>
      </c>
      <c r="AU19" s="214"/>
      <c r="AV19" s="215"/>
      <c r="AW19" s="214"/>
      <c r="AX19" s="215"/>
      <c r="AY19" s="133">
        <f>SUBTOTAL(9,AY9:AY18)</f>
        <v>16934</v>
      </c>
      <c r="AZ19" s="134">
        <f>SUBTOTAL(9,AZ9:AZ18)</f>
        <v>8264</v>
      </c>
      <c r="BA19" s="134">
        <f>SUBTOTAL(9,BA9:BA18)</f>
        <v>8265</v>
      </c>
      <c r="BB19" s="134">
        <f>SUBTOTAL(9,BB9:BB18)</f>
        <v>16644</v>
      </c>
      <c r="BC19" s="135">
        <f>SUBTOTAL(9,BC9:BC18)</f>
        <v>2235</v>
      </c>
      <c r="BD19" s="216">
        <f>IF(ISNUMBER(BA19/AZ19),BA19/AZ19," - ")</f>
        <v>1.0001210067763795</v>
      </c>
      <c r="BE19" s="213">
        <f>IF(ISNUMBER(BB19/BA19),BB19/BA19, " - ")</f>
        <v>2.0137931034482759</v>
      </c>
      <c r="BF19" s="213">
        <f>IF(ISNUMBER(BC19/BA19),BC19/BA19, " - ")</f>
        <v>0.27041742286751363</v>
      </c>
      <c r="BG19" s="135">
        <f>IF(ISNUMBER((AY19+AZ19)/BA19),(AY19+AZ19)/BA19," - ")</f>
        <v>3.0487598306110102</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u51B0wHroXqAAx3ALXYckzWvwDgXMB+Etsa9Y+M/szBcaA5uLOmuh1wz1DUJ54aayHYsm0Bmh4NwxQbcA5i8A==" saltValue="1folXtxLLeo8Az+T/m9Hb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iCdflZMFN3QLnXGPhc9QjbOefg6+HsRcJ/H83mKd12+q0KG9ByQ/pmL8QecWuBawYdAdUJKb9iIh93tsdWAfg==" saltValue="WUxLWBnzHAQsWrlTpL+l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GRANOLLERS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8</v>
      </c>
      <c r="B9" s="504" t="s">
        <v>249</v>
      </c>
      <c r="C9" s="163" t="str">
        <f>Datos!A9</f>
        <v xml:space="preserve">Jdos. 1ª Instancia   </v>
      </c>
      <c r="D9" s="505"/>
      <c r="E9" s="263">
        <f>IF(ISNUMBER(Datos!AQ9),Datos!AQ9," - ")</f>
        <v>8</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120</v>
      </c>
      <c r="O9" s="337"/>
      <c r="P9" s="337"/>
      <c r="Q9" s="229">
        <f>IF(ISNUMBER(Datos!P9),Datos!P9,0)</f>
        <v>1064</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907</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126</v>
      </c>
      <c r="AI9" s="337" t="str">
        <f>IF(ISNUMBER(Datos!CD9),Datos!CD9,"-")</f>
        <v>-</v>
      </c>
      <c r="AJ9" s="337" t="str">
        <f>IF(ISNUMBER(Datos!EN9),Datos!EN9," - ")</f>
        <v xml:space="preserve"> - </v>
      </c>
      <c r="AK9" s="337"/>
      <c r="AL9" s="482"/>
      <c r="AM9" s="338">
        <f>IF(ISNUMBER(Datos!R9),Datos!R9," - ")</f>
        <v>14435</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745</v>
      </c>
      <c r="BD9" s="232">
        <f>IF(ISNUMBER(Datos!N9),Datos!N9," - ")</f>
        <v>1399</v>
      </c>
      <c r="BE9" s="232" t="str">
        <f>IF(ISNUMBER(Datos!BW9),Datos!BW9," - ")</f>
        <v xml:space="preserve"> - </v>
      </c>
      <c r="BF9" s="231" t="str">
        <f>IF(ISNUMBER(Datos!BX9),Datos!BX9," - ")</f>
        <v xml:space="preserve"> - </v>
      </c>
      <c r="BG9" s="246">
        <f>IF(ISNUMBER(IF(J_V="SI",Datos!K9/Datos!J9,(Datos!K9+Datos!AA9)/(Datos!J9+Datos!Z9))),IF(J_V="SI",Datos!K9/Datos!J9,(Datos!K9+Datos!AA9)/(Datos!J9+Datos!Z9))," - ")</f>
        <v>0.96187427240977885</v>
      </c>
      <c r="BH9" s="263">
        <f>IF(ISNUMBER(((IF(J_V="SI",Datos!L9/Datos!K9,(Datos!L9+Datos!AB9)/(Datos!K9+Datos!AA9)))*11)/factor_trimestre),((IF(J_V="SI",Datos!L9/Datos!K9,(Datos!L9+Datos!AB9)/(Datos!K9+Datos!AA9)))*11)/factor_trimestre," - ")</f>
        <v>8.3301059001512865</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1.0995937806415465E-2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78</v>
      </c>
      <c r="G10" s="336">
        <f>IF(ISNUMBER(Datos!I10),Datos!I10," - ")</f>
        <v>78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8</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28</v>
      </c>
      <c r="AC10" s="229">
        <f>IF(ISNUMBER(Datos!Q10),Datos!Q10," - ")</f>
        <v>0</v>
      </c>
      <c r="AD10" s="337"/>
      <c r="AE10" s="487"/>
      <c r="AF10" s="335">
        <f>IF(ISNUMBER(Datos!L10),Datos!L10,"-")</f>
        <v>95</v>
      </c>
      <c r="AG10" s="337"/>
      <c r="AH10" s="337"/>
      <c r="AI10" s="337"/>
      <c r="AJ10" s="337"/>
      <c r="AK10" s="337"/>
      <c r="AL10" s="482"/>
      <c r="AM10" s="338">
        <f>IF(ISNUMBER(Datos!R10),Datos!R10," - ")</f>
        <v>104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12</v>
      </c>
      <c r="BD10" s="232">
        <f>IF(ISNUMBER(Datos!N10),Datos!N10," - ")</f>
        <v>9</v>
      </c>
      <c r="BE10" s="232" t="str">
        <f>IF(ISNUMBER(Datos!BW10),Datos!BW10," - ")</f>
        <v xml:space="preserve"> - </v>
      </c>
      <c r="BF10" s="231" t="str">
        <f>IF(ISNUMBER(Datos!BX10),Datos!BX10," - ")</f>
        <v xml:space="preserve"> - </v>
      </c>
      <c r="BG10" s="246">
        <f>IF(ISNUMBER(Datos!K10/Datos!J10),Datos!K10/Datos!J10," - ")</f>
        <v>0.62222222222222223</v>
      </c>
      <c r="BH10" s="263">
        <f>IF(ISNUMBER(((Datos!L10/Datos!K10)*11)/factor_trimestre),((Datos!L10/Datos!K10)*11)/factor_trimestre," - ")</f>
        <v>10.178571428571429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8.3333333333333329E-2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2</v>
      </c>
      <c r="B11" s="510" t="s">
        <v>249</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170</v>
      </c>
      <c r="O11" s="337"/>
      <c r="P11" s="337"/>
      <c r="Q11" s="229">
        <f>IF(ISNUMBER(Datos!P11),Datos!P11,0)</f>
        <v>66</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41</v>
      </c>
      <c r="AD11" s="337"/>
      <c r="AE11" s="487"/>
      <c r="AF11" s="335" t="str">
        <f>IF(ISNUMBER(IF(J_V="SI",Datos!L11,Datos!L11+Datos!AB11)-IF(Monitorios="SI",Datos!CD11,0)),
                          IF(J_V="SI",Datos!L11,Datos!L11+Datos!AB11)-IF(Monitorios="SI",Datos!CD11,0),
                          " - ")</f>
        <v xml:space="preserve"> - </v>
      </c>
      <c r="AG11" s="337"/>
      <c r="AH11" s="337">
        <f>IF(ISNUMBER(Datos!AB11),Datos!AB11,"-")</f>
        <v>69</v>
      </c>
      <c r="AI11" s="337"/>
      <c r="AJ11" s="337"/>
      <c r="AK11" s="337"/>
      <c r="AL11" s="482"/>
      <c r="AM11" s="338">
        <f>IF(ISNUMBER(Datos!R11),Datos!R11," - ")</f>
        <v>692</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189</v>
      </c>
      <c r="BD11" s="232">
        <f>IF(ISNUMBER(Datos!N11),Datos!N11," - ")</f>
        <v>410</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1.2048710601719197</v>
      </c>
      <c r="BH11" s="263">
        <f>IF(ISNUMBER(((IF(J_V="SI",Datos!L11/Datos!K11,(Datos!L11+Datos!AB11)/(Datos!K11+Datos!AA11)))*11)/factor_trimestre),((IF(J_V="SI",Datos!L11/Datos!K11,(Datos!L11+Datos!AB11)/(Datos!K11+Datos!AA11)))*11)/factor_trimestre," - ")</f>
        <v>4.0701545778834722</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3.7481259370314844E-2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11</v>
      </c>
      <c r="F13" s="901">
        <f t="shared" si="0"/>
        <v>78</v>
      </c>
      <c r="G13" s="901">
        <f t="shared" si="0"/>
        <v>78</v>
      </c>
      <c r="H13" s="902">
        <f t="shared" si="0"/>
        <v>0</v>
      </c>
      <c r="I13" s="901">
        <f t="shared" si="0"/>
        <v>0</v>
      </c>
      <c r="J13" s="870">
        <f t="shared" si="0"/>
        <v>0</v>
      </c>
      <c r="K13" s="870">
        <f t="shared" si="0"/>
        <v>0</v>
      </c>
      <c r="L13" s="902">
        <f t="shared" si="0"/>
        <v>0</v>
      </c>
      <c r="M13" s="902">
        <f t="shared" si="0"/>
        <v>0</v>
      </c>
      <c r="N13" s="902">
        <f t="shared" si="0"/>
        <v>290</v>
      </c>
      <c r="O13" s="903">
        <f t="shared" si="0"/>
        <v>0</v>
      </c>
      <c r="P13" s="903">
        <f t="shared" si="0"/>
        <v>0</v>
      </c>
      <c r="Q13" s="902">
        <f t="shared" si="0"/>
        <v>1138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28</v>
      </c>
      <c r="AC13" s="902">
        <f t="shared" si="1"/>
        <v>948</v>
      </c>
      <c r="AD13" s="902">
        <f t="shared" si="1"/>
        <v>0</v>
      </c>
      <c r="AE13" s="902">
        <f t="shared" si="1"/>
        <v>0</v>
      </c>
      <c r="AF13" s="902">
        <f t="shared" si="1"/>
        <v>95</v>
      </c>
      <c r="AG13" s="902">
        <f t="shared" si="1"/>
        <v>0</v>
      </c>
      <c r="AH13" s="902">
        <f t="shared" si="1"/>
        <v>195</v>
      </c>
      <c r="AI13" s="902">
        <f t="shared" si="1"/>
        <v>0</v>
      </c>
      <c r="AJ13" s="902">
        <f t="shared" si="1"/>
        <v>0</v>
      </c>
      <c r="AK13" s="902">
        <f t="shared" si="1"/>
        <v>0</v>
      </c>
      <c r="AL13" s="902">
        <f t="shared" si="1"/>
        <v>0</v>
      </c>
      <c r="AM13" s="902">
        <f t="shared" si="1"/>
        <v>15231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946</v>
      </c>
      <c r="BD13" s="902">
        <f t="shared" si="1"/>
        <v>1818</v>
      </c>
      <c r="BE13" s="902">
        <f t="shared" si="1"/>
        <v>0</v>
      </c>
      <c r="BF13" s="902">
        <f t="shared" si="1"/>
        <v>0</v>
      </c>
      <c r="BG13" s="902">
        <f>IF(ISNUMBER(Datos!K13/Datos!J13),Datos!K13/Datos!J13," - ")</f>
        <v>0.99820005142710211</v>
      </c>
      <c r="BH13" s="906">
        <f>IF(ISNUMBER(((Datos!L13/Datos!K13)*11)/factor_trimestre),((Datos!L13/Datos!K13)*11)/factor_trimestre," - ")</f>
        <v>7.8964451313755797</v>
      </c>
      <c r="BI13" s="902">
        <f>IF(ISNUMBER('Resol  Asuntos'!D13/NºAsuntos!G13),'Resol  Asuntos'!D13/NºAsuntos!G13," - ")</f>
        <v>0.22664111164350742</v>
      </c>
      <c r="BJ13" s="902" t="str">
        <f>IF(ISNUMBER(Datos!CI13/Datos!CJ13),Datos!CI13/Datos!CJ13," - ")</f>
        <v xml:space="preserve"> - </v>
      </c>
      <c r="BK13" s="902">
        <f>SUBTOTAL(9,BK8:BK12)</f>
        <v>0</v>
      </c>
      <c r="BL13" s="902">
        <f>IF(ISNUMBER((I13-AB13+L13)/(F13)),(I13-AB13+L13)/(F13)," - ")</f>
        <v>-0.35897435897435898</v>
      </c>
      <c r="BM13" s="907">
        <f>SUBTOTAL(9,BM9:BM12)</f>
        <v>0.13181053051006364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400</v>
      </c>
      <c r="C15" s="603" t="str">
        <f>Datos!A15</f>
        <v xml:space="preserve">Jdos. Instrucción                               </v>
      </c>
      <c r="D15" s="604"/>
      <c r="E15" s="1168">
        <f>IF(ISNUMBER(Datos!AQ15),Datos!AQ15," - ")</f>
        <v>4</v>
      </c>
      <c r="F15" s="598">
        <f>IF(ISNUMBER(AF15+AB15-Datos!J15-L15),AF15+AB15-Datos!J15-L15," - ")</f>
        <v>6603</v>
      </c>
      <c r="G15" s="601">
        <f>IF(ISNUMBER(IF(D_I="SI",Datos!I15,Datos!I15+Datos!AC15)),IF(D_I="SI",Datos!I15,Datos!I15+Datos!AC15)," - ")</f>
        <v>6639</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75</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3810</v>
      </c>
      <c r="AC15" s="229">
        <f>IF(ISNUMBER(Datos!Q15),Datos!Q15," - ")</f>
        <v>67</v>
      </c>
      <c r="AD15" s="337"/>
      <c r="AE15" s="487"/>
      <c r="AF15" s="599">
        <f>IF(ISNUMBER(IF(D_I="SI",Datos!L15,Datos!L15+Datos!AF15)),IF(D_I="SI",Datos!L15,Datos!L15+Datos!AF15)," - ")</f>
        <v>6834</v>
      </c>
      <c r="AG15" s="337"/>
      <c r="AH15" s="337"/>
      <c r="AI15" s="337"/>
      <c r="AJ15" s="337"/>
      <c r="AK15" s="337"/>
      <c r="AL15" s="482"/>
      <c r="AM15" s="338">
        <f>IF(ISNUMBER(Datos!R15),Datos!R15," - ")</f>
        <v>340</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428</v>
      </c>
      <c r="BD15" s="232">
        <f>IF(ISNUMBER(Datos!N15),Datos!N15," - ")</f>
        <v>2683</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0.94283593170007429</v>
      </c>
      <c r="BH15" s="263">
        <f>IF(ISNUMBER(((IF(D_I="SI",Datos!L15/Datos!K15,(Datos!L15+Datos!AF15)/(Datos!K15+Datos!AE15)))*11)/factor_trimestre),((IF(D_I="SI",Datos!L15/Datos!K15,(Datos!L15+Datos!AF15)/(Datos!K15+Datos!AE15)))*11)/factor_trimestre," - ")</f>
        <v>5.3811023622047252</v>
      </c>
      <c r="BI15" s="246">
        <f>IF(ISNUMBER('Resol  Asuntos'!D15/NºAsuntos!G15),'Resol  Asuntos'!D15/NºAsuntos!G15," - ")</f>
        <v>0.11233595800524934</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131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222</v>
      </c>
      <c r="AC17" s="229">
        <f>IF(ISNUMBER(Datos!Q17),Datos!Q17," - ")</f>
        <v>0</v>
      </c>
      <c r="AD17" s="337"/>
      <c r="AE17" s="487"/>
      <c r="AF17" s="335">
        <f>IF(ISNUMBER(Datos!L17),Datos!L17,"-")</f>
        <v>163</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31</v>
      </c>
      <c r="BD17" s="232">
        <f>IF(ISNUMBER(Datos!N17),Datos!N17," - ")</f>
        <v>80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0.87401574803149606</v>
      </c>
      <c r="BH17" s="263">
        <f>IF(ISNUMBER(((IF(D_I="SI",Datos!L17/Datos!K17,(Datos!L17+Datos!AF17)/(Datos!K17+Datos!AE17)))*11)/factor_trimestre),((IF(D_I="SI",Datos!L17/Datos!K17,(Datos!L17+Datos!AF17)/(Datos!K17+Datos!AE17)))*11)/factor_trimestre," - ")</f>
        <v>2.2027027027027031</v>
      </c>
      <c r="BI17" s="246">
        <f>IF(ISNUMBER('Resol  Asuntos'!D17/NºAsuntos!G17),'Resol  Asuntos'!D17/NºAsuntos!G17," - ")</f>
        <v>0.13963963963963963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6603</v>
      </c>
      <c r="G18" s="901">
        <f>SUBTOTAL(9,G15:G17)</f>
        <v>6770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4032</v>
      </c>
      <c r="AC18" s="902">
        <f t="shared" si="4"/>
        <v>67</v>
      </c>
      <c r="AD18" s="902">
        <f t="shared" si="4"/>
        <v>0</v>
      </c>
      <c r="AE18" s="902">
        <f t="shared" si="4"/>
        <v>0</v>
      </c>
      <c r="AF18" s="902">
        <f t="shared" si="4"/>
        <v>6997</v>
      </c>
      <c r="AG18" s="902">
        <f t="shared" si="4"/>
        <v>0</v>
      </c>
      <c r="AH18" s="902">
        <f t="shared" si="4"/>
        <v>0</v>
      </c>
      <c r="AI18" s="902">
        <f t="shared" si="4"/>
        <v>0</v>
      </c>
      <c r="AJ18" s="902">
        <f t="shared" si="4"/>
        <v>0</v>
      </c>
      <c r="AK18" s="902">
        <f t="shared" si="4"/>
        <v>0</v>
      </c>
      <c r="AL18" s="902">
        <f t="shared" si="4"/>
        <v>0</v>
      </c>
      <c r="AM18" s="902">
        <f t="shared" si="4"/>
        <v>345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459</v>
      </c>
      <c r="BD18" s="902">
        <f t="shared" si="4"/>
        <v>2763</v>
      </c>
      <c r="BE18" s="902">
        <f t="shared" si="4"/>
        <v>0</v>
      </c>
      <c r="BF18" s="902">
        <f t="shared" si="4"/>
        <v>0</v>
      </c>
      <c r="BG18" s="902">
        <f>IF(ISNUMBER(Datos!K18/Datos!J18),Datos!K18/Datos!J18," - ")</f>
        <v>0.93876600698486612</v>
      </c>
      <c r="BH18" s="906">
        <f>IF(ISNUMBER(((Datos!L18/Datos!K18)*11)/factor_trimestre),((Datos!L18/Datos!K18)*11)/factor_trimestre," - ")</f>
        <v>5.2061011904761907</v>
      </c>
      <c r="BI18" s="902">
        <f>SUBTOTAL(9,BI15:BI17)</f>
        <v>0.25197559764488897</v>
      </c>
      <c r="BJ18" s="902">
        <f>SUBTOTAL(9,BJ15:BJ17)</f>
        <v>0</v>
      </c>
      <c r="BK18" s="902">
        <f>SUBTOTAL(9,BK15:BK17)</f>
        <v>0</v>
      </c>
      <c r="BL18" s="902">
        <f>IF(ISNUMBER((I18-AB18+L18)/(F18)),(I18-AB18+L18)/(F18)," - ")</f>
        <v>-0.61063153112221713</v>
      </c>
      <c r="BM18" s="908">
        <f>IF(ISNUMBER((Datos!P18-Datos!Q18)/(Datos!R18-Datos!P18+Datos!Q18)),(Datos!P18-Datos!Q18)/(Datos!R18-Datos!P18+Datos!Q18)," - ")</f>
        <v>2.6785714285714284E-2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16</v>
      </c>
      <c r="F19" s="823">
        <f t="shared" si="6"/>
        <v>6681</v>
      </c>
      <c r="G19" s="823">
        <f t="shared" si="6"/>
        <v>6848</v>
      </c>
      <c r="H19" s="825">
        <f t="shared" si="6"/>
        <v>0</v>
      </c>
      <c r="I19" s="823">
        <f t="shared" si="6"/>
        <v>0</v>
      </c>
      <c r="J19" s="825">
        <f t="shared" si="6"/>
        <v>0</v>
      </c>
      <c r="K19" s="825">
        <f t="shared" si="6"/>
        <v>0</v>
      </c>
      <c r="L19" s="884">
        <f t="shared" si="6"/>
        <v>0</v>
      </c>
      <c r="M19" s="884">
        <f t="shared" si="6"/>
        <v>0</v>
      </c>
      <c r="N19" s="884">
        <f t="shared" si="6"/>
        <v>290</v>
      </c>
      <c r="O19" s="884">
        <f t="shared" si="6"/>
        <v>0</v>
      </c>
      <c r="P19" s="884">
        <f t="shared" si="6"/>
        <v>0</v>
      </c>
      <c r="Q19" s="825">
        <f t="shared" si="6"/>
        <v>1214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4060</v>
      </c>
      <c r="AC19" s="824">
        <f t="shared" si="7"/>
        <v>1015</v>
      </c>
      <c r="AD19" s="824">
        <f t="shared" si="7"/>
        <v>0</v>
      </c>
      <c r="AE19" s="824">
        <f t="shared" si="7"/>
        <v>0</v>
      </c>
      <c r="AF19" s="831">
        <f t="shared" si="7"/>
        <v>7092</v>
      </c>
      <c r="AG19" s="831">
        <f t="shared" si="7"/>
        <v>0</v>
      </c>
      <c r="AH19" s="831">
        <f t="shared" si="7"/>
        <v>195</v>
      </c>
      <c r="AI19" s="831">
        <f t="shared" si="7"/>
        <v>0</v>
      </c>
      <c r="AJ19" s="824">
        <f t="shared" si="7"/>
        <v>0</v>
      </c>
      <c r="AK19" s="831">
        <f t="shared" si="7"/>
        <v>0</v>
      </c>
      <c r="AL19" s="831">
        <f t="shared" si="7"/>
        <v>0</v>
      </c>
      <c r="AM19" s="831">
        <f t="shared" si="7"/>
        <v>15576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1405</v>
      </c>
      <c r="BD19" s="823">
        <f t="shared" si="7"/>
        <v>4581</v>
      </c>
      <c r="BE19" s="823">
        <f t="shared" si="7"/>
        <v>0</v>
      </c>
      <c r="BF19" s="833">
        <f t="shared" si="7"/>
        <v>0</v>
      </c>
      <c r="BG19" s="918">
        <f>IF(ISNUMBER(Datos!K19/Datos!J19),Datos!K19/Datos!J19," - ")</f>
        <v>0.96700879765395897</v>
      </c>
      <c r="BH19" s="918">
        <f>IF(ISNUMBER(((Datos!L19/Datos!K19)*11)/factor_trimestre),((Datos!L19/Datos!K19)*11)/factor_trimestre," - ")</f>
        <v>6.5257771038665666</v>
      </c>
      <c r="BI19" s="816">
        <f>IF(ISNUMBER(Datos!J19/Datos!I19),Datos!J19/Datos!I19," - ")</f>
        <v>0.47954998242118835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-0.60769345906301453</v>
      </c>
      <c r="BM19" s="892">
        <f>IF(ISNUMBER((Datos!P19-Datos!Q19+R19)/(Datos!R19-Datos!P19+Datos!Q19-R19)),(Datos!P19-Datos!Q19+R19)/(Datos!R19-Datos!P19+Datos!Q19-R19)," - ")</f>
        <v>1.2941405995968004E-2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2739.2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3.844187531556932</v>
      </c>
      <c r="F21" s="554">
        <f>IF(ISNUMBER(STDEV(F8:F18)),STDEV(F8:F18),"-")</f>
        <v>3767.2105064623083</v>
      </c>
      <c r="G21" s="555">
        <f>IF(ISNUMBER(STDEV(G8:G18)),STDEV(G8:G18),"-")</f>
        <v>3620.16804858559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2099.8271357423687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354.16985432739153</v>
      </c>
      <c r="BD21" s="554"/>
      <c r="BE21" s="554">
        <f>IF(ISNUMBER(STDEV(BE8:BE18)),STDEV(BE8:BE18),"-")</f>
        <v>0</v>
      </c>
      <c r="BF21" s="559">
        <f>IF(ISNUMBER(STDEV(BF8:BF18)),STDEV(BF8:BF18),"-")</f>
        <v>0</v>
      </c>
      <c r="BG21" s="778">
        <f>IF(ISNUMBER(STDEV(BG8:BG18)),STDEV(BG8:BG18),"-")</f>
        <v>0.17280565351782545</v>
      </c>
      <c r="BH21" s="779">
        <f>IF(ISNUMBER(STDEV(BH8:BH18)),STDEV(BH8:BH18),"-")</f>
        <v>2.7512047883724682</v>
      </c>
      <c r="BI21" s="252">
        <f>IF(ISNUMBER(STDEV(BI8:BI18)),STDEV(BI8:BI18),"-")</f>
        <v>6.7169467214462764E-2</v>
      </c>
      <c r="BJ21" s="233" t="str">
        <f>IF(ISNUMBER(BL21/BM21),BL21/BM21," - ")</f>
        <v xml:space="preserve"> - </v>
      </c>
      <c r="BK21" s="578"/>
      <c r="BL21" s="562">
        <f>IF(ISNUMBER(STDEV(BL8:BL18)),STDEV(BL8:BL18),"-")</f>
        <v>0.17794849295998094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LMz333RoGh9hWBo9LAfchRuwIMmjKs4sY4EsAKjZZphYWUiqvp4I+mB/7id+sW6ZqCGHYKYURoI0p3lWAlOalw==" saltValue="W0DJUsqvlKH59b4zsP/BA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GRANOLLERS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8</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1064</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907</v>
      </c>
      <c r="AA9" s="335" t="str">
        <f>IF(ISNUMBER(IF(J_V="SI",Datos!L9,Datos!L9+Datos!AB9)-IF(Monitorios="SI",Datos!CD9,0)),
                          IF(J_V="SI",Datos!L9,Datos!L9+Datos!AB9)-IF(Monitorios="SI",Datos!CD9,0),
                          " - ")</f>
        <v xml:space="preserve"> - </v>
      </c>
      <c r="AB9" s="337"/>
      <c r="AC9" s="337"/>
      <c r="AD9" s="487"/>
      <c r="AE9" s="487">
        <f>IF(ISNUMBER(Datos!R9),Datos!R9," - ")</f>
        <v>14435</v>
      </c>
      <c r="AF9" s="232" t="str">
        <f>IF(ISNUMBER(Datos!BV9),Datos!BV9," - ")</f>
        <v xml:space="preserve"> - </v>
      </c>
      <c r="AG9" s="228" t="str">
        <f>IF(ISNUMBER(Datos!DV9),Datos!DV9," - ")</f>
        <v xml:space="preserve"> - </v>
      </c>
      <c r="AH9" s="301"/>
      <c r="AI9" s="230"/>
      <c r="AJ9" s="228">
        <f>IF(ISNUMBER(Datos!M9),Datos!M9," - ")</f>
        <v>745</v>
      </c>
      <c r="AK9" s="232">
        <f>IF(ISNUMBER(Datos!N9),Datos!N9," - ")</f>
        <v>1399</v>
      </c>
      <c r="AL9" s="232" t="str">
        <f>IF(ISNUMBER(Datos!BW9),Datos!BW9," - ")</f>
        <v xml:space="preserve"> - </v>
      </c>
      <c r="AM9" s="231" t="str">
        <f>IF(ISNUMBER(Datos!BX9),Datos!BX9," - ")</f>
        <v xml:space="preserve"> - </v>
      </c>
      <c r="AN9" s="246"/>
      <c r="AO9" s="263">
        <f>IF(ISNUMBER(((NºAsuntos!I9/NºAsuntos!G9)*11)/factor_trimestre),((NºAsuntos!I9/NºAsuntos!G9)*11)/factor_trimestre," - ")</f>
        <v>8.3301059001512865</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1.0995937806415465E-2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78</v>
      </c>
      <c r="G10" s="228">
        <f>IF(ISNUMBER(Datos!I10),Datos!I10," - ")</f>
        <v>78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8</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28</v>
      </c>
      <c r="Z10" s="622">
        <f>IF(ISNUMBER(Datos!Q10),Datos!Q10," - ")</f>
        <v>0</v>
      </c>
      <c r="AA10" s="335">
        <f>IF(ISNUMBER(Datos!L10),Datos!L10,"-")</f>
        <v>95</v>
      </c>
      <c r="AB10" s="337"/>
      <c r="AC10" s="337"/>
      <c r="AD10" s="487"/>
      <c r="AE10" s="487">
        <f>IF(ISNUMBER(Datos!R10),Datos!R10," - ")</f>
        <v>104</v>
      </c>
      <c r="AF10" s="232" t="str">
        <f>IF(ISNUMBER(Datos!BV10),Datos!BV10," - ")</f>
        <v xml:space="preserve"> - </v>
      </c>
      <c r="AG10" s="228" t="str">
        <f>IF(ISNUMBER(Datos!DV10),Datos!DV10," - ")</f>
        <v xml:space="preserve"> - </v>
      </c>
      <c r="AH10" s="301"/>
      <c r="AI10" s="230"/>
      <c r="AJ10" s="228">
        <f>IF(ISNUMBER(Datos!M10),Datos!M10," - ")</f>
        <v>12</v>
      </c>
      <c r="AK10" s="232">
        <f>IF(ISNUMBER(Datos!N10),Datos!N10," - ")</f>
        <v>9</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10.178571428571429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8.3333333333333329E-2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2</v>
      </c>
      <c r="B11" s="510" t="s">
        <v>249</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66</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41</v>
      </c>
      <c r="AA11" s="335" t="str">
        <f>IF(ISNUMBER(IF(J_V="SI",Datos!L11,Datos!L11+Datos!AB11)-IF(Monitorios="SI",Datos!CD11,0)),
                          IF(J_V="SI",Datos!L11,Datos!L11+Datos!AB11)-IF(Monitorios="SI",Datos!CD11,0),
                          " - ")</f>
        <v xml:space="preserve"> - </v>
      </c>
      <c r="AB11" s="337"/>
      <c r="AC11" s="337"/>
      <c r="AD11" s="487"/>
      <c r="AE11" s="487">
        <f>IF(ISNUMBER(Datos!R11),Datos!R11," - ")</f>
        <v>692</v>
      </c>
      <c r="AF11" s="232" t="str">
        <f>IF(ISNUMBER(Datos!BV11),Datos!BV11," - ")</f>
        <v xml:space="preserve"> - </v>
      </c>
      <c r="AG11" s="228" t="str">
        <f>IF(ISNUMBER(Datos!DV11),Datos!DV11," - ")</f>
        <v xml:space="preserve"> - </v>
      </c>
      <c r="AH11" s="301"/>
      <c r="AI11" s="230"/>
      <c r="AJ11" s="228">
        <f>IF(ISNUMBER(Datos!M11),Datos!M11," - ")</f>
        <v>189</v>
      </c>
      <c r="AK11" s="232">
        <f>IF(ISNUMBER(Datos!N11),Datos!N11," - ")</f>
        <v>410</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4.0701545778834722</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3.7481259370314844E-2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11</v>
      </c>
      <c r="F13" s="901">
        <f>SUBTOTAL(9,F8:F12)</f>
        <v>78</v>
      </c>
      <c r="G13" s="901">
        <f>SUBTOTAL(9,G8:G12)</f>
        <v>78</v>
      </c>
      <c r="H13" s="911"/>
      <c r="I13" s="901">
        <f t="shared" ref="I13:N13" si="0">SUBTOTAL(9,I8:I12)</f>
        <v>0</v>
      </c>
      <c r="J13" s="870">
        <f t="shared" si="0"/>
        <v>0</v>
      </c>
      <c r="K13" s="911">
        <f t="shared" si="0"/>
        <v>0</v>
      </c>
      <c r="L13" s="911">
        <f t="shared" si="0"/>
        <v>0</v>
      </c>
      <c r="M13" s="911">
        <f t="shared" si="0"/>
        <v>0</v>
      </c>
      <c r="N13" s="911">
        <f t="shared" si="0"/>
        <v>1138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28</v>
      </c>
      <c r="Z13" s="910">
        <f t="shared" si="2"/>
        <v>948</v>
      </c>
      <c r="AA13" s="903">
        <f t="shared" si="2"/>
        <v>95</v>
      </c>
      <c r="AB13" s="903">
        <f t="shared" si="2"/>
        <v>0</v>
      </c>
      <c r="AC13" s="903">
        <f t="shared" si="2"/>
        <v>0</v>
      </c>
      <c r="AD13" s="903">
        <f t="shared" si="2"/>
        <v>0</v>
      </c>
      <c r="AE13" s="903">
        <f t="shared" si="2"/>
        <v>15231</v>
      </c>
      <c r="AF13" s="911">
        <f t="shared" si="2"/>
        <v>0</v>
      </c>
      <c r="AG13" s="911">
        <f t="shared" si="2"/>
        <v>0</v>
      </c>
      <c r="AH13" s="911">
        <f t="shared" si="2"/>
        <v>0</v>
      </c>
      <c r="AI13" s="911">
        <f t="shared" si="2"/>
        <v>0</v>
      </c>
      <c r="AJ13" s="911">
        <f t="shared" si="2"/>
        <v>946</v>
      </c>
      <c r="AK13" s="911">
        <f t="shared" si="2"/>
        <v>1818</v>
      </c>
      <c r="AL13" s="911">
        <f t="shared" si="2"/>
        <v>0</v>
      </c>
      <c r="AM13" s="911">
        <f t="shared" si="2"/>
        <v>0</v>
      </c>
      <c r="AN13" s="911">
        <f t="shared" si="2"/>
        <v>0</v>
      </c>
      <c r="AO13" s="907">
        <f>IF(ISNUMBER(((NºAsuntos!I13/NºAsuntos!G13)*11)/factor_trimestre),((NºAsuntos!I13/NºAsuntos!G13)*11)/factor_trimestre," - ")</f>
        <v>7.4841878294202209</v>
      </c>
      <c r="AP13" s="913" t="str">
        <f>IF(ISNUMBER(Datos!CI13/Datos!CJ13),Datos!CI13/Datos!CJ13," - ")</f>
        <v xml:space="preserve"> - </v>
      </c>
      <c r="AQ13" s="931">
        <f t="shared" ref="AQ13:AV13" si="3">SUBTOTAL(9,AQ9:AQ12)</f>
        <v>0</v>
      </c>
      <c r="AR13" s="931">
        <f t="shared" si="3"/>
        <v>0.13181053051006364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400</v>
      </c>
      <c r="C15" s="163" t="str">
        <f>Datos!A15</f>
        <v xml:space="preserve">Jdos. Instrucción                               </v>
      </c>
      <c r="D15" s="505"/>
      <c r="E15" s="1171">
        <f>IF(ISNUMBER(Datos!AQ15),Datos!AQ15," - ")</f>
        <v>4</v>
      </c>
      <c r="F15" s="336">
        <f>IF(ISNUMBER(AA15+Y15-Datos!J15-K15),AA15+Y15-Datos!J15-K15," - ")</f>
        <v>6603</v>
      </c>
      <c r="G15" s="228">
        <f>IF(ISNUMBER(IF(D_I="SI",Datos!I15,Datos!I15+Datos!AC15)),IF(D_I="SI",Datos!I15,Datos!I15+Datos!AC15)," - ")</f>
        <v>6639</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75</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3810</v>
      </c>
      <c r="Z15" s="622">
        <f>IF(ISNUMBER(Datos!Q15),Datos!Q15," - ")</f>
        <v>67</v>
      </c>
      <c r="AA15" s="335">
        <f>IF(ISNUMBER(IF(D_I="SI",Datos!L15,Datos!L15+Datos!AF15)),IF(D_I="SI",Datos!L15,Datos!L15+Datos!AF15)," - ")</f>
        <v>6834</v>
      </c>
      <c r="AB15" s="337"/>
      <c r="AC15" s="337"/>
      <c r="AD15" s="487"/>
      <c r="AE15" s="487">
        <f>IF(ISNUMBER(Datos!R15),Datos!R15," - ")</f>
        <v>340</v>
      </c>
      <c r="AF15" s="232" t="str">
        <f>IF(ISNUMBER(Datos!BV15),Datos!BV15," - ")</f>
        <v xml:space="preserve"> - </v>
      </c>
      <c r="AG15" s="228"/>
      <c r="AH15" s="301"/>
      <c r="AI15" s="230"/>
      <c r="AJ15" s="228">
        <f>IF(ISNUMBER(Datos!M15),Datos!M15," - ")</f>
        <v>428</v>
      </c>
      <c r="AK15" s="232">
        <f>IF(ISNUMBER(Datos!N15),Datos!N15," - ")</f>
        <v>2683</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5.3811023622047252</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131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222</v>
      </c>
      <c r="Z17" s="622">
        <f>IF(ISNUMBER(Datos!Q17),Datos!Q17," - ")</f>
        <v>0</v>
      </c>
      <c r="AA17" s="335">
        <f>IF(ISNUMBER(Datos!L17),Datos!L17,"-")</f>
        <v>163</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31</v>
      </c>
      <c r="AK17" s="232">
        <f>IF(ISNUMBER(Datos!N17),Datos!N17," - ")</f>
        <v>80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2.2027027027027031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6603</v>
      </c>
      <c r="G18" s="901">
        <f>SUBTOTAL(9,G15:G17)</f>
        <v>6770</v>
      </c>
      <c r="H18" s="935">
        <f>SUBTOTAL(9,H15:H17)</f>
        <v>0</v>
      </c>
      <c r="I18" s="914">
        <f>SUBTOTAL(9,I15:I17)</f>
        <v>0</v>
      </c>
      <c r="J18" s="870">
        <f>SUBTOTAL(9,J14:J17)</f>
        <v>0</v>
      </c>
      <c r="K18" s="935">
        <f t="shared" ref="K18:S18" si="4">SUBTOTAL(9,K15:K17)</f>
        <v>0</v>
      </c>
      <c r="L18" s="935">
        <f t="shared" si="4"/>
        <v>0</v>
      </c>
      <c r="M18" s="935">
        <f t="shared" si="4"/>
        <v>0</v>
      </c>
      <c r="N18" s="935">
        <f t="shared" si="4"/>
        <v>76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4032</v>
      </c>
      <c r="Z18" s="935">
        <f t="shared" si="5"/>
        <v>67</v>
      </c>
      <c r="AA18" s="935">
        <f t="shared" si="5"/>
        <v>6997</v>
      </c>
      <c r="AB18" s="935">
        <f t="shared" si="5"/>
        <v>0</v>
      </c>
      <c r="AC18" s="935">
        <f t="shared" si="5"/>
        <v>0</v>
      </c>
      <c r="AD18" s="935">
        <f t="shared" si="5"/>
        <v>0</v>
      </c>
      <c r="AE18" s="935">
        <f t="shared" si="5"/>
        <v>345</v>
      </c>
      <c r="AF18" s="935">
        <f t="shared" si="5"/>
        <v>0</v>
      </c>
      <c r="AG18" s="935">
        <f t="shared" si="5"/>
        <v>0</v>
      </c>
      <c r="AH18" s="935">
        <f t="shared" si="5"/>
        <v>0</v>
      </c>
      <c r="AI18" s="935">
        <f t="shared" si="5"/>
        <v>0</v>
      </c>
      <c r="AJ18" s="935">
        <f t="shared" si="5"/>
        <v>459</v>
      </c>
      <c r="AK18" s="935">
        <f t="shared" si="5"/>
        <v>2763</v>
      </c>
      <c r="AL18" s="935">
        <f t="shared" si="5"/>
        <v>0</v>
      </c>
      <c r="AM18" s="935">
        <f t="shared" si="5"/>
        <v>0</v>
      </c>
      <c r="AN18" s="935">
        <f t="shared" si="5"/>
        <v>0</v>
      </c>
      <c r="AO18" s="937">
        <f>IF(ISNUMBER(((NºAsuntos!I18/NºAsuntos!G18)*11)/factor_trimestre),((NºAsuntos!I18/NºAsuntos!G18)*11)/factor_trimestre," - ")</f>
        <v>5.2061011904761907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6681</v>
      </c>
      <c r="G19" s="823">
        <f t="shared" si="7"/>
        <v>6848</v>
      </c>
      <c r="H19" s="824">
        <f t="shared" si="7"/>
        <v>0</v>
      </c>
      <c r="I19" s="823">
        <f t="shared" si="7"/>
        <v>0</v>
      </c>
      <c r="J19" s="825">
        <f t="shared" si="7"/>
        <v>0</v>
      </c>
      <c r="K19" s="823">
        <f t="shared" si="7"/>
        <v>0</v>
      </c>
      <c r="L19" s="826">
        <f t="shared" si="7"/>
        <v>0</v>
      </c>
      <c r="M19" s="823">
        <f t="shared" si="7"/>
        <v>0</v>
      </c>
      <c r="N19" s="824">
        <f t="shared" si="7"/>
        <v>1214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4060</v>
      </c>
      <c r="Z19" s="830">
        <f t="shared" si="8"/>
        <v>1015</v>
      </c>
      <c r="AA19" s="831">
        <f t="shared" si="8"/>
        <v>7092</v>
      </c>
      <c r="AB19" s="831">
        <f t="shared" si="8"/>
        <v>0</v>
      </c>
      <c r="AC19" s="831">
        <f t="shared" si="8"/>
        <v>0</v>
      </c>
      <c r="AD19" s="832">
        <f t="shared" si="8"/>
        <v>0</v>
      </c>
      <c r="AE19" s="832">
        <f t="shared" si="8"/>
        <v>15576</v>
      </c>
      <c r="AF19" s="833">
        <f t="shared" si="8"/>
        <v>0</v>
      </c>
      <c r="AG19" s="834">
        <f t="shared" si="8"/>
        <v>0</v>
      </c>
      <c r="AH19" s="835">
        <f t="shared" si="8"/>
        <v>0</v>
      </c>
      <c r="AI19" s="833">
        <f t="shared" si="8"/>
        <v>0</v>
      </c>
      <c r="AJ19" s="823">
        <f t="shared" si="8"/>
        <v>1405</v>
      </c>
      <c r="AK19" s="823">
        <f t="shared" si="8"/>
        <v>4581</v>
      </c>
      <c r="AL19" s="823">
        <f t="shared" si="8"/>
        <v>0</v>
      </c>
      <c r="AM19" s="836">
        <f t="shared" si="8"/>
        <v>0</v>
      </c>
      <c r="AN19" s="826">
        <f>IF(ISNUMBER(Datos!K19/Datos!J19),Datos!K19/Datos!J19," - ")</f>
        <v>0.96700879765395897</v>
      </c>
      <c r="AO19" s="826">
        <f>IF(ISNUMBER(FIND("06",Criterios!A8,1)),(IF(ISNUMBER(((Datos!R19/Datos!Q19)*11)/factor_trimestre),((Datos!R19/Datos!Q19)*11)/factor_trimestre," - ")),(IF(ISNUMBER(((Datos!L19/Datos!K19)*11)/factor_trimestre),((Datos!L19/Datos!K19)*11)/factor_trimestre," - ")))</f>
        <v>6.5257771038665666</v>
      </c>
      <c r="AP19" s="837" t="str">
        <f>IF(ISNUMBER(Datos!CI19/Datos!CJ19),Datos!CI19/Datos!CJ19," - ")</f>
        <v xml:space="preserve"> - </v>
      </c>
      <c r="AQ19" s="837">
        <f>IF(OR(ISNUMBER(FIND("01",Criterios!A8,1)),ISNUMBER(FIND("02",Criterios!A8,1)),ISNUMBER(FIND("03",Criterios!A8,1)),ISNUMBER(FIND("04",Criterios!A8,1))),(J19-Y19+K19)/(F19-K19),(I19-Y19+K19)/(F19-K19))</f>
        <v>-0.60769345906301453</v>
      </c>
      <c r="AR19" s="837">
        <f>IF(ISNUMBER((Datos!P19-Datos!Q19+O19)/(Datos!R19-Datos!P19+Datos!Q19-O19)),(Datos!P19-Datos!Q19+O19)/(Datos!R19-Datos!P19+Datos!Q19-O19)," - ")</f>
        <v>1.2941405995968004E-2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2739.2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3767.2105064623083</v>
      </c>
      <c r="G21" s="555">
        <f>IF(ISNUMBER(STDEV(G8:G18)),STDEV(G8:G18),"-")</f>
        <v>3620.16804858559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354.16985432739153</v>
      </c>
      <c r="AK21" s="255"/>
      <c r="AL21" s="255">
        <f>IF(ISNUMBER(STDEV(AL8:AL18)),STDEV(AL8:AL18),"-")</f>
        <v>0</v>
      </c>
      <c r="AM21" s="257">
        <f>IF(ISNUMBER(STDEV(AM8:AM18)),STDEV(AM8:AM18),"-")</f>
        <v>0</v>
      </c>
      <c r="AN21" s="542">
        <f>IF(ISNUMBER(STDEV(AN8:AN18)),STDEV(AN8:AN18),"-")</f>
        <v>0</v>
      </c>
      <c r="AO21" s="543">
        <f>IF(ISNUMBER(STDEV(AO8:AO18)),STDEV(AO8:AO18),"-")</f>
        <v>2.7124963846077521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g56FA9gTT4HqJyqk9rkhjxJb25375YsXtUT7U/GD2KYRwPRP0xK6A53whe7rAurxl7/iFKzMV7gM/PjA+L7mTA==" saltValue="Aj3xjEf0dTxc70wZRoY2K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Wqv4Zf/p3Bty6qTWBzQ9ALf9zIXSPmz89jMdWWc4WBOxtWsGU5Q9GTrMTlj74AZqSTrwIfISEkpaF2RTgqIUQ==" saltValue="+nV50e+sJND2IZ9ZQXyC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g8zgEzL+483MzvPQ5Q26+rnQWRSRdTq33hVpq/RY86O1uIP7hjFOY9rERonOIwriuVRBGZaZ6hIc3gxNIHeoA==" saltValue="Z3PAs/VjZMvtB0GkH9qP3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GRANOLLERS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0.22664111164350742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0.16025946693878149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JfbzhfIaRJwry7fGLoQbSAfRSr/2nOIva1Dcf3blLQF3+O89PT5+v5R5H/QOdLtpDEEZx46eL7XYyJDuTn5A0Q==" saltValue="bItUV9oLrvgWZyINHCSil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QzcjIruq78fh/+b8TPeILb7TOuFiRyxHVvx7Ke6GTWyd7hMCZ6IqMo54hMGwBrAUELCxZbaVnaER8x5AK56pCw==" saltValue="nDxRCIbM4GG0VsqfVHf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GRANOLLERS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8</v>
      </c>
      <c r="C9" s="406">
        <f>IF(ISNUMBER(IF(J_V="SI",Datos!I9,Datos!I9+Datos!Y9)),IF(J_V="SI",Datos!I9,Datos!I9+Datos!Y9)," - ")</f>
        <v>9151</v>
      </c>
      <c r="D9" s="407">
        <f>IF(ISNUMBER(C9/Datos!BH9),C9/Datos!BH9," - ")</f>
        <v>1307.2857142857142</v>
      </c>
      <c r="E9" s="406">
        <f>IF(ISNUMBER(IF(J_V="SI",Datos!J9,Datos!J9+Datos!Z9)),IF(J_V="SI",Datos!J9,Datos!J9+Datos!Z9)," - ")</f>
        <v>3436</v>
      </c>
      <c r="F9" s="407">
        <f>IF(ISNUMBER(E9/B9),E9/B9," - ")</f>
        <v>429.5</v>
      </c>
      <c r="G9" s="406">
        <f>IF(ISNUMBER(IF(J_V="SI",Datos!K9,Datos!K9+Datos!AA9)),IF(J_V="SI",Datos!K9,Datos!K9+Datos!AA9)," - ")</f>
        <v>3305</v>
      </c>
      <c r="H9" s="407">
        <f>IF(ISNUMBER(G9/B9),G9/B9," - ")</f>
        <v>413.125</v>
      </c>
      <c r="I9" s="406">
        <f>IF(ISNUMBER(IF(J_V="SI",Datos!L9,Datos!L9+Datos!AB9)),IF(J_V="SI",Datos!L9,Datos!L9+Datos!AB9)," - ")</f>
        <v>9177</v>
      </c>
      <c r="J9" s="407">
        <f>IF(ISNUMBER(I9/B9),I9/B9," - ")</f>
        <v>1147.125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78</v>
      </c>
      <c r="D10" s="407">
        <f>IF(ISNUMBER(C10/Datos!BH10),C10/Datos!BH10," - ")</f>
        <v>78</v>
      </c>
      <c r="E10" s="406">
        <f>IF(ISNUMBER(Datos!J10),Datos!J10," - ")</f>
        <v>45</v>
      </c>
      <c r="F10" s="407">
        <f>IF(ISNUMBER(E10/B10),E10/B10," - ")</f>
        <v>45</v>
      </c>
      <c r="G10" s="406">
        <f>IF(ISNUMBER(Datos!K10),Datos!K10," - ")</f>
        <v>28</v>
      </c>
      <c r="H10" s="407">
        <f>IF(ISNUMBER(G10/B10),G10/B10," - ")</f>
        <v>28</v>
      </c>
      <c r="I10" s="406">
        <f>IF(ISNUMBER(Datos!L10),Datos!L10," - ")</f>
        <v>95</v>
      </c>
      <c r="J10" s="407">
        <f>IF(ISNUMBER(I10/B10),I10/B10," - ")</f>
        <v>95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1231</v>
      </c>
      <c r="D11" s="407">
        <f>IF(ISNUMBER(C11/Datos!BH11),C11/Datos!BH11," - ")</f>
        <v>615.5</v>
      </c>
      <c r="E11" s="406">
        <f>IF(ISNUMBER(IF(J_V="SI",Datos!J11,Datos!J11+Datos!Z11)),IF(J_V="SI",Datos!J11,Datos!J11+Datos!Z11)," - ")</f>
        <v>698</v>
      </c>
      <c r="F11" s="407">
        <f>IF(ISNUMBER(E11/B11),E11/B11," - ")</f>
        <v>349</v>
      </c>
      <c r="G11" s="406">
        <f>IF(ISNUMBER(IF(J_V="SI",Datos!K11,Datos!K11+Datos!AA11)),IF(J_V="SI",Datos!K11,Datos!K11+Datos!AA11)," - ")</f>
        <v>841</v>
      </c>
      <c r="H11" s="407">
        <f>IF(ISNUMBER(G11/B11),G11/B11," - ")</f>
        <v>420.5</v>
      </c>
      <c r="I11" s="406">
        <f>IF(ISNUMBER(IF(J_V="SI",Datos!L11,Datos!L11+Datos!AB11)),IF(J_V="SI",Datos!L11,Datos!L11+Datos!AB11)," - ")</f>
        <v>1141</v>
      </c>
      <c r="J11" s="407">
        <f>IF(ISNUMBER(I11/B11),I11/B11," - ")</f>
        <v>570.5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11</v>
      </c>
      <c r="C13" s="852">
        <f>SUBTOTAL(9,C8:C12)</f>
        <v>10460</v>
      </c>
      <c r="D13" s="853" t="str">
        <f>IF(ISNUMBER(C13/Datos!BI13),C13/Datos!BI13," - ")</f>
        <v xml:space="preserve"> - </v>
      </c>
      <c r="E13" s="852">
        <f>SUBTOTAL(9,E8:E12)</f>
        <v>4179</v>
      </c>
      <c r="F13" s="853">
        <f>IF(ISNUMBER(E13/B13),E13/B13," - ")</f>
        <v>379.90909090909093</v>
      </c>
      <c r="G13" s="852">
        <f>SUBTOTAL(9,G8:G12)</f>
        <v>4174</v>
      </c>
      <c r="H13" s="853">
        <f>IF(ISNUMBER(G13/B13),G13/B13," - ")</f>
        <v>379.45454545454544</v>
      </c>
      <c r="I13" s="852">
        <f>SUBTOTAL(9,I8:I12)</f>
        <v>10413</v>
      </c>
      <c r="J13" s="853">
        <f>IF(ISNUMBER(I13/B13),I13/B13," - ")</f>
        <v>946.63636363636363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6639</v>
      </c>
      <c r="D15" s="407">
        <f>IF(ISNUMBER(C15/Datos!BH15),C15/Datos!BH15," - ")</f>
        <v>1659.75</v>
      </c>
      <c r="E15" s="406">
        <f>IF(ISNUMBER(IF(D_I="SI",Datos!J15,Datos!J15+Datos!AD15)),IF(D_I="SI",Datos!J15,Datos!J15+Datos!AD15)," - ")</f>
        <v>4041</v>
      </c>
      <c r="F15" s="407">
        <f>IF(ISNUMBER(E15/B15),E15/B15," - ")</f>
        <v>1010.25</v>
      </c>
      <c r="G15" s="406">
        <f>IF(ISNUMBER(IF(D_I="SI",Datos!K15,Datos!K15+Datos!AE15)),IF(D_I="SI",Datos!K15,Datos!K15+Datos!AE15)," - ")</f>
        <v>3810</v>
      </c>
      <c r="H15" s="407">
        <f>IF(ISNUMBER(G15/B15),G15/B15," - ")</f>
        <v>952.5</v>
      </c>
      <c r="I15" s="406">
        <f>IF(ISNUMBER(IF(D_I="SI",Datos!L15,Datos!L15+Datos!AF15)),IF(D_I="SI",Datos!L15,Datos!L15+Datos!AF15)," - ")</f>
        <v>6834</v>
      </c>
      <c r="J15" s="407">
        <f>IF(ISNUMBER(I15/B15),I15/B15," - ")</f>
        <v>1708.5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131</v>
      </c>
      <c r="D17" s="407">
        <f>IF(ISNUMBER(C17/Datos!BH17),C17/Datos!BH17," - ")</f>
        <v>131</v>
      </c>
      <c r="E17" s="406">
        <f>IF(ISNUMBER(IF(D_I="SI",Datos!J17,Datos!J17+Datos!AD17)),IF(D_I="SI",Datos!J17,Datos!J17+Datos!AD17)," - ")</f>
        <v>254</v>
      </c>
      <c r="F17" s="407">
        <f>IF(ISNUMBER(E17/B17),E17/B17," - ")</f>
        <v>254</v>
      </c>
      <c r="G17" s="406">
        <f>IF(ISNUMBER(IF(D_I="SI",Datos!K17,Datos!K17+Datos!AE17)),IF(D_I="SI",Datos!K17,Datos!K17+Datos!AE17)," - ")</f>
        <v>222</v>
      </c>
      <c r="H17" s="407">
        <f>IF(ISNUMBER(G17/B17),G17/B17," - ")</f>
        <v>222</v>
      </c>
      <c r="I17" s="406">
        <f>IF(ISNUMBER(IF(D_I="SI",Datos!L17,Datos!L17+Datos!AF17)),IF(D_I="SI",Datos!L17,Datos!L17+Datos!AF17)," - ")</f>
        <v>163</v>
      </c>
      <c r="J17" s="407">
        <f>IF(ISNUMBER(I17/B17),I17/B17," - ")</f>
        <v>163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6770</v>
      </c>
      <c r="D18" s="853" t="str">
        <f>IF(ISNUMBER(C18/Datos!BI18),C18/Datos!BI18," - ")</f>
        <v xml:space="preserve"> - </v>
      </c>
      <c r="E18" s="852">
        <f>SUBTOTAL(9,E14:E17)</f>
        <v>4295</v>
      </c>
      <c r="F18" s="853">
        <f>IF(ISNUMBER(E18/B18),E18/B18," - ")</f>
        <v>859</v>
      </c>
      <c r="G18" s="852">
        <f>SUBTOTAL(9,G14:G17)</f>
        <v>4032</v>
      </c>
      <c r="H18" s="853">
        <f>IF(ISNUMBER(G18/B18),G18/B18," - ")</f>
        <v>806.4</v>
      </c>
      <c r="I18" s="852">
        <f>SUBTOTAL(9,I14:I17)</f>
        <v>6997</v>
      </c>
      <c r="J18" s="853">
        <f>IF(ISNUMBER(I18/B18),I18/B18," - ")</f>
        <v>1399.4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15</v>
      </c>
      <c r="C19" s="797">
        <f>SUBTOTAL(9,C9:C18)</f>
        <v>17230</v>
      </c>
      <c r="D19" s="798" t="str">
        <f>IF(ISNUMBER(C19/Datos!BI19),C19/Datos!BI19," - ")</f>
        <v xml:space="preserve"> - </v>
      </c>
      <c r="E19" s="797">
        <f>SUBTOTAL(9,E9:E18)</f>
        <v>8474</v>
      </c>
      <c r="F19" s="798">
        <f>IF(ISNUMBER(E19/B19),E19/B19," - ")</f>
        <v>564.93333333333328</v>
      </c>
      <c r="G19" s="797">
        <f>SUBTOTAL(9,G9:G18)</f>
        <v>8206</v>
      </c>
      <c r="H19" s="798">
        <f>IF(ISNUMBER(G19/B19),G19/B19," - ")</f>
        <v>547.06666666666672</v>
      </c>
      <c r="I19" s="797">
        <f>SUBTOTAL(9,I9:I18)</f>
        <v>17410</v>
      </c>
      <c r="J19" s="798">
        <f>IF(ISNUMBER(I19/B19),I19/B19," - ")</f>
        <v>1160.6666666666667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kRJnTPwscraTWBp1GRzbhUVA6Owh2/CRcMtD48w45ZhQlrgySb6vwP0JoOjKinA23X9MlorvXtU8EaQVktSNrA==" saltValue="0gmdvdALDrYZljuXj5ZBo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GRANOLLERS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8</v>
      </c>
      <c r="B9" s="504" t="s">
        <v>249</v>
      </c>
      <c r="C9" s="163" t="str">
        <f>Datos!A9</f>
        <v xml:space="preserve">Jdos. 1ª Instancia   </v>
      </c>
      <c r="D9" s="505"/>
      <c r="E9" s="685">
        <f>IF(ISNUMBER(Datos!AQ9),Datos!AQ9," - ")</f>
        <v>8</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78</v>
      </c>
      <c r="G10" s="687">
        <f>IF(ISNUMBER(Datos!I10),Datos!I10," - ")</f>
        <v>78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8</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28</v>
      </c>
      <c r="AC10" s="686" t="str">
        <f>IF(ISNUMBER(IF(D_I="SI",DatosP!K17,DatosP!K17+DatosP!AE17)),IF(D_I="SI",DatosP!K17,DatosP!K17+DatosP!AE17)," - ")</f>
        <v xml:space="preserve"> - </v>
      </c>
      <c r="AD10" s="688"/>
      <c r="AE10" s="688"/>
      <c r="AF10" s="691">
        <f>IF(ISNUMBER(Datos!L10),Datos!L10,"-")</f>
        <v>95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12</v>
      </c>
      <c r="AM10" s="693">
        <f>IF(ISNUMBER(Datos!N10+DatosP!N17),Datos!N10+DatosP!N17," - ")</f>
        <v>9</v>
      </c>
      <c r="AN10" s="693">
        <f>IF(ISNUMBER(Datos!BW10+DatosP!BW17),Datos!BW10+DatosP!BW17," - ")</f>
        <v>0</v>
      </c>
      <c r="AO10" s="694">
        <f>IF(ISNUMBER(Datos!BX10+DatosP!BX17),Datos!BX10+DatosP!BX17," - ")</f>
        <v>0</v>
      </c>
      <c r="AP10" s="696">
        <f>IF(ISNUMBER(((Datos!L10/Datos!K10)*11)/factor_trimestre),((Datos!L10/Datos!K10)*11)/factor_trimestre," - ")</f>
        <v>10.178571428571429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249</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11</v>
      </c>
      <c r="F13" s="941">
        <f t="shared" si="0"/>
        <v>78</v>
      </c>
      <c r="G13" s="941">
        <f t="shared" si="0"/>
        <v>78</v>
      </c>
      <c r="H13" s="941">
        <f t="shared" si="0"/>
        <v>0</v>
      </c>
      <c r="I13" s="943">
        <f t="shared" si="0"/>
        <v>0</v>
      </c>
      <c r="J13" s="942">
        <f t="shared" si="0"/>
        <v>0</v>
      </c>
      <c r="K13" s="942">
        <f t="shared" si="0"/>
        <v>0</v>
      </c>
      <c r="L13" s="944">
        <f t="shared" si="0"/>
        <v>0</v>
      </c>
      <c r="M13" s="944">
        <f t="shared" si="0"/>
        <v>0</v>
      </c>
      <c r="N13" s="942">
        <f t="shared" si="0"/>
        <v>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28</v>
      </c>
      <c r="AC13" s="942">
        <f t="shared" si="1"/>
        <v>0</v>
      </c>
      <c r="AD13" s="942">
        <f t="shared" si="1"/>
        <v>0</v>
      </c>
      <c r="AE13" s="942">
        <f t="shared" si="1"/>
        <v>0</v>
      </c>
      <c r="AF13" s="942">
        <f t="shared" si="1"/>
        <v>95</v>
      </c>
      <c r="AG13" s="942">
        <f t="shared" si="1"/>
        <v>0</v>
      </c>
      <c r="AH13" s="942">
        <f t="shared" si="1"/>
        <v>0</v>
      </c>
      <c r="AI13" s="942">
        <f t="shared" si="1"/>
        <v>0</v>
      </c>
      <c r="AJ13" s="942">
        <f t="shared" si="1"/>
        <v>0</v>
      </c>
      <c r="AK13" s="942">
        <f t="shared" si="1"/>
        <v>0</v>
      </c>
      <c r="AL13" s="942">
        <f t="shared" si="1"/>
        <v>12</v>
      </c>
      <c r="AM13" s="942">
        <f t="shared" si="1"/>
        <v>9</v>
      </c>
      <c r="AN13" s="942">
        <f t="shared" si="1"/>
        <v>0</v>
      </c>
      <c r="AO13" s="942">
        <f t="shared" si="1"/>
        <v>0</v>
      </c>
      <c r="AP13" s="947">
        <f>IF(ISNUMBER(((Datos!L13/Datos!K13)*11)/factor_trimestre),((Datos!L13/Datos!K13)*11)/factor_trimestre," - ")</f>
        <v>7.8964451313755797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-0.35897435897435898</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5.2061011904761907</v>
      </c>
      <c r="AQ18" s="947">
        <f>IF(ISNUMBER(((Datos!M18/Datos!L18)*11)/factor_trimestre),((Datos!M18/Datos!L18)*11)/factor_trimestre," - ")</f>
        <v>0.19679862798342149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2.6785714285714284E-2</v>
      </c>
      <c r="AW18" s="949">
        <f>IF(ISNUMBER((Datos!Q18-Datos!R18)/(Datos!S18-Datos!Q18+Datos!R18)),(Datos!Q18-Datos!R18)/(Datos!S18-Datos!Q18+Datos!R18)," - ")</f>
        <v>-4.2651119975452595E-2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11</v>
      </c>
      <c r="F19" s="954">
        <f t="shared" si="4"/>
        <v>78</v>
      </c>
      <c r="G19" s="954">
        <f t="shared" si="4"/>
        <v>78</v>
      </c>
      <c r="H19" s="954">
        <f t="shared" si="4"/>
        <v>0</v>
      </c>
      <c r="I19" s="955">
        <f t="shared" si="4"/>
        <v>0</v>
      </c>
      <c r="J19" s="956">
        <f t="shared" si="4"/>
        <v>0</v>
      </c>
      <c r="K19" s="956">
        <f t="shared" si="4"/>
        <v>0</v>
      </c>
      <c r="L19" s="956">
        <f t="shared" si="4"/>
        <v>0</v>
      </c>
      <c r="M19" s="956">
        <f t="shared" si="4"/>
        <v>0</v>
      </c>
      <c r="N19" s="955">
        <f t="shared" si="4"/>
        <v>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28</v>
      </c>
      <c r="AC19" s="960">
        <f t="shared" si="5"/>
        <v>0</v>
      </c>
      <c r="AD19" s="960">
        <f t="shared" si="5"/>
        <v>0</v>
      </c>
      <c r="AE19" s="960">
        <f t="shared" si="5"/>
        <v>0</v>
      </c>
      <c r="AF19" s="961">
        <f t="shared" si="5"/>
        <v>95</v>
      </c>
      <c r="AG19" s="961">
        <f t="shared" si="5"/>
        <v>0</v>
      </c>
      <c r="AH19" s="961">
        <f t="shared" si="5"/>
        <v>0</v>
      </c>
      <c r="AI19" s="961">
        <f t="shared" si="5"/>
        <v>0</v>
      </c>
      <c r="AJ19" s="962">
        <f t="shared" si="5"/>
        <v>0</v>
      </c>
      <c r="AK19" s="962">
        <f t="shared" si="5"/>
        <v>0</v>
      </c>
      <c r="AL19" s="954">
        <f t="shared" si="5"/>
        <v>12</v>
      </c>
      <c r="AM19" s="954">
        <f t="shared" si="5"/>
        <v>9</v>
      </c>
      <c r="AN19" s="954">
        <f t="shared" si="5"/>
        <v>0</v>
      </c>
      <c r="AO19" s="954">
        <f t="shared" si="5"/>
        <v>0</v>
      </c>
      <c r="AP19" s="954">
        <f>IF(ISNUMBER(((Datos!L19/Datos!K19)*11)/factor_trimestre),((Datos!L19/Datos!K19)*11)/factor_trimestre," - ")</f>
        <v>6.5257771038665666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-0.35897435897435898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1.2941405995968004E-2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4.6761807778000488</v>
      </c>
      <c r="F21" s="739">
        <f>IF(ISNUMBER(STDEV(F8:F18)),STDEV(F8:F18),"-")</f>
        <v>45.033320996790806</v>
      </c>
      <c r="G21" s="740">
        <f>IF(ISNUMBER(STDEV(G8:G18)),STDEV(G8:G18),"-")</f>
        <v>45.033320996790806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16.165807537309522</v>
      </c>
      <c r="AC21" s="741">
        <f>IF(ISNUMBER(STDEV(AC8:AC18)),STDEV(AC8:AC18),"-")</f>
        <v>0</v>
      </c>
      <c r="AD21" s="744"/>
      <c r="AE21" s="744"/>
      <c r="AF21" s="744"/>
      <c r="AG21" s="744"/>
      <c r="AH21" s="744"/>
      <c r="AI21" s="744"/>
      <c r="AJ21" s="745">
        <f>IF(ISNUMBER(STDEV(AJ8:AJ18)),STDEV(AJ8:AJ18),"-")</f>
        <v>0</v>
      </c>
      <c r="AK21" s="747"/>
      <c r="AL21" s="739">
        <f>IF(ISNUMBER(STDEV(AL8:AL18)),STDEV(AL8:AL18),"-")</f>
        <v>6.9282032302755088</v>
      </c>
      <c r="AM21" s="739"/>
      <c r="AN21" s="739">
        <f>IF(ISNUMBER(STDEV(AN8:AN18)),STDEV(AN8:AN18),"-")</f>
        <v>0</v>
      </c>
      <c r="AO21" s="745">
        <f>IF(ISNUMBER(STDEV(AO8:AO18)),STDEV(AO8:AO18),"-")</f>
        <v>0</v>
      </c>
      <c r="AP21" s="782">
        <f>IF(ISNUMBER(STDEV(AP8:AP18)),STDEV(AP8:AP18),"-")</f>
        <v>2.4890262897175237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t+hXfJDxQiB/1P7vgDbsIbjg7Rv/DIKO1ialujN97FmG5WDvnY5Yyp4WvA+kbCEtB4I/A+Hwg5M04BnQaJnzUQ==" saltValue="6iRfFhIF2QV3lF9HsNsc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BARCELONA</v>
      </c>
      <c r="C3" s="418"/>
      <c r="F3" s="378"/>
      <c r="G3" s="378"/>
      <c r="H3" s="378"/>
    </row>
    <row r="4" spans="1:15" ht="13.5" thickBot="1">
      <c r="A4" s="378"/>
      <c r="B4" s="394" t="str">
        <f>Criterios!A11 &amp;"  "&amp;Criterios!B11</f>
        <v>Resumenes por Partidos Judiciales  GRANOLLERS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8</v>
      </c>
      <c r="D9" s="406">
        <f>Datos!BK9</f>
        <v>0</v>
      </c>
      <c r="E9" s="406">
        <f>Datos!AQ9</f>
        <v>8</v>
      </c>
      <c r="F9" s="407">
        <f>IF(ISNUMBER(E9/Datos!BH9),E9/Datos!BH9," - ")</f>
        <v>1.1428571428571428</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tsEckLDJ/8HYcX2gQ43QlBjDfx/6emQm+B2MF9PC0XpSBrPXaBSugvLNaM8gsTfVvskES+plgdV/Kcv7IMGzKQ==" saltValue="J0+56aHy7K6LUJTCw7nhW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GRANOLLERS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8</v>
      </c>
      <c r="C9" s="413">
        <f>Datos!AQ9</f>
        <v>8</v>
      </c>
      <c r="D9" s="406">
        <f>IF(ISNUMBER(Datos!M9),Datos!M9," - ")</f>
        <v>745</v>
      </c>
      <c r="E9" s="407">
        <f t="shared" ref="E9:E13" si="0">IF(ISNUMBER(D9/B9),D9/B9," - ")</f>
        <v>93.125</v>
      </c>
      <c r="F9" s="406">
        <f>IF(ISNUMBER(Datos!N9),Datos!N9," - ")</f>
        <v>1399</v>
      </c>
      <c r="G9" s="407">
        <f t="shared" ref="G9:G13" si="1">IF(ISNUMBER(F9/B9),F9/B9," - ")</f>
        <v>174.875</v>
      </c>
      <c r="H9" s="406">
        <f>IF(ISNUMBER(Datos!O9),Datos!O9," - ")</f>
        <v>1848</v>
      </c>
      <c r="I9" s="407">
        <f>IF(ISNUMBER(H9/B9),H9/B9," - ")</f>
        <v>231</v>
      </c>
    </row>
    <row r="10" spans="1:9">
      <c r="A10" s="405" t="str">
        <f>Datos!A10</f>
        <v>Jdos. Violencia contra la mujer</v>
      </c>
      <c r="B10" s="430">
        <f>Datos!AO10</f>
        <v>1</v>
      </c>
      <c r="C10" s="413">
        <f>Datos!AQ10</f>
        <v>1</v>
      </c>
      <c r="D10" s="406">
        <f>IF(ISNUMBER(Datos!M10),Datos!M10," - ")</f>
        <v>12</v>
      </c>
      <c r="E10" s="407">
        <f>IF(ISNUMBER(D10/B10),D10/B10," - ")</f>
        <v>12</v>
      </c>
      <c r="F10" s="406">
        <f>IF(ISNUMBER(Datos!N10),Datos!N10," - ")</f>
        <v>9</v>
      </c>
      <c r="G10" s="407">
        <f>IF(ISNUMBER(F10/B10),F10/B10," - ")</f>
        <v>9</v>
      </c>
      <c r="H10" s="406">
        <f>IF(ISNUMBER(Datos!O10),Datos!O10," - ")</f>
        <v>0</v>
      </c>
      <c r="I10" s="407">
        <f t="shared" ref="I10:I12" si="2">IF(ISNUMBER(H10/B10),H10/B10," - ")</f>
        <v>0</v>
      </c>
    </row>
    <row r="11" spans="1:9">
      <c r="A11" s="405" t="str">
        <f>Datos!A11</f>
        <v xml:space="preserve">Jdos. Familia                                   </v>
      </c>
      <c r="B11" s="430">
        <f>Datos!AO11</f>
        <v>2</v>
      </c>
      <c r="C11" s="413">
        <f>Datos!AQ11</f>
        <v>2</v>
      </c>
      <c r="D11" s="406">
        <f>IF(ISNUMBER(Datos!M11),Datos!M11," - ")</f>
        <v>189</v>
      </c>
      <c r="E11" s="407">
        <f t="shared" si="0"/>
        <v>94.5</v>
      </c>
      <c r="F11" s="406">
        <f>IF(ISNUMBER(Datos!N11),Datos!N11," - ")</f>
        <v>410</v>
      </c>
      <c r="G11" s="407">
        <f t="shared" si="1"/>
        <v>205</v>
      </c>
      <c r="H11" s="406">
        <f>IF(ISNUMBER(Datos!O11),Datos!O11," - ")</f>
        <v>136</v>
      </c>
      <c r="I11" s="407">
        <f t="shared" si="2"/>
        <v>68</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11</v>
      </c>
      <c r="C13" s="854">
        <f>Datos!AR13</f>
        <v>11</v>
      </c>
      <c r="D13" s="852">
        <f>SUBTOTAL(9,D9:D12)</f>
        <v>946</v>
      </c>
      <c r="E13" s="853">
        <f t="shared" si="0"/>
        <v>86</v>
      </c>
      <c r="F13" s="852">
        <f>SUBTOTAL(9,F9:F12)</f>
        <v>1818</v>
      </c>
      <c r="G13" s="853">
        <f t="shared" si="1"/>
        <v>165.27272727272728</v>
      </c>
      <c r="H13" s="852">
        <f>SUBTOTAL(9,H9:H12)</f>
        <v>1984</v>
      </c>
      <c r="I13" s="853">
        <f>IF(ISNUMBER(H13/B13),H13/B13," - ")</f>
        <v>180.36363636363637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428</v>
      </c>
      <c r="E15" s="407">
        <f t="shared" ref="E15:E18" si="3">IF(ISNUMBER(D15/B15),D15/B15," - ")</f>
        <v>107</v>
      </c>
      <c r="F15" s="406">
        <f>IF(ISNUMBER(Datos!N15),Datos!N15," - ")</f>
        <v>2683</v>
      </c>
      <c r="G15" s="407">
        <f t="shared" ref="G15:G18" si="4">IF(ISNUMBER(F15/B15),F15/B15," - ")</f>
        <v>670.75</v>
      </c>
      <c r="H15" s="406">
        <f>IF(ISNUMBER(Datos!O15),Datos!O15," - ")</f>
        <v>35</v>
      </c>
      <c r="I15" s="407">
        <f t="shared" ref="I15:I17" si="5">IF(ISNUMBER(H15/B15),H15/B15," - ")</f>
        <v>8.75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31</v>
      </c>
      <c r="E17" s="407">
        <f>IF(ISNUMBER(D17/B17),D17/B17," - ")</f>
        <v>31</v>
      </c>
      <c r="F17" s="406">
        <f>IF(ISNUMBER(Datos!N17),Datos!N17," - ")</f>
        <v>80</v>
      </c>
      <c r="G17" s="407">
        <f>IF(ISNUMBER(F17/B17),F17/B17," - ")</f>
        <v>80</v>
      </c>
      <c r="H17" s="406">
        <f>IF(ISNUMBER(Datos!O17),Datos!O17," - ")</f>
        <v>0</v>
      </c>
      <c r="I17" s="407">
        <f t="shared" si="5"/>
        <v>0</v>
      </c>
    </row>
    <row r="18" spans="1:9" ht="14.25" thickTop="1" thickBot="1">
      <c r="A18" s="851" t="str">
        <f>Datos!A18</f>
        <v>TOTAL</v>
      </c>
      <c r="B18" s="852">
        <f>Datos!AO18</f>
        <v>5</v>
      </c>
      <c r="C18" s="854">
        <f>Datos!AR18</f>
        <v>5</v>
      </c>
      <c r="D18" s="852">
        <f>SUBTOTAL(9,D15:D17)</f>
        <v>459</v>
      </c>
      <c r="E18" s="853">
        <f t="shared" si="3"/>
        <v>91.8</v>
      </c>
      <c r="F18" s="852">
        <f>SUBTOTAL(9,F15:F17)</f>
        <v>2763</v>
      </c>
      <c r="G18" s="853">
        <f t="shared" si="4"/>
        <v>552.6</v>
      </c>
      <c r="H18" s="852">
        <f>SUBTOTAL(9,H15:H17)</f>
        <v>35</v>
      </c>
      <c r="I18" s="853">
        <f>IF(ISNUMBER(H18/B18),H18/B18," - ")</f>
        <v>7</v>
      </c>
    </row>
    <row r="19" spans="1:9" ht="14.25" thickTop="1" thickBot="1">
      <c r="A19" s="796" t="str">
        <f>Datos!A19</f>
        <v>TOTAL JURISDICCIONES</v>
      </c>
      <c r="B19" s="797">
        <f>Datos!AP19</f>
        <v>15</v>
      </c>
      <c r="C19" s="797">
        <f>Datos!AR19</f>
        <v>15</v>
      </c>
      <c r="D19" s="797">
        <f>SUBTOTAL(9,D8:D18)</f>
        <v>1405</v>
      </c>
      <c r="E19" s="798">
        <f>IF(ISNUMBER(D19/B19),D19/B19," - ")</f>
        <v>93.666666666666671</v>
      </c>
      <c r="F19" s="797">
        <f>SUBTOTAL(9,F8:F18)</f>
        <v>4581</v>
      </c>
      <c r="G19" s="798">
        <f>IF(ISNUMBER(F19/B19),F19/B19," - ")</f>
        <v>305.39999999999998</v>
      </c>
      <c r="H19" s="797">
        <f>SUBTOTAL(9,H8:H18)</f>
        <v>2019</v>
      </c>
      <c r="I19" s="798">
        <f>IF(ISNUMBER(H19/B19),H19/B19," - ")</f>
        <v>134.6</v>
      </c>
    </row>
    <row r="22" spans="1:9">
      <c r="A22" s="394" t="str">
        <f>Criterios!A4</f>
        <v>Fecha Informe: 07 mar. 2024</v>
      </c>
    </row>
    <row r="27" spans="1:9">
      <c r="A27" s="417"/>
    </row>
  </sheetData>
  <sheetProtection algorithmName="SHA-512" hashValue="PFmb6OXDfPHnM8ZqQ0nuS4kF7s/IhKIE81Cy8JTSruybeFRhGPo2UEMPP5kB2O4MABo2h9Cw8IqW43KzXzdksA==" saltValue="dD3Gck9ZLPNCMIRXEe7N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GRANOLLERS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1064</v>
      </c>
      <c r="C9" s="437">
        <f>IF(ISNUMBER(Datos!Q9),Datos!Q9," - ")</f>
        <v>907</v>
      </c>
      <c r="D9" s="411">
        <f>IF(ISNUMBER(Datos!R9),Datos!R9," - ")</f>
        <v>14435</v>
      </c>
    </row>
    <row r="10" spans="1:4">
      <c r="A10" s="405" t="str">
        <f>Datos!A10</f>
        <v>Jdos. Violencia contra la mujer</v>
      </c>
      <c r="B10" s="436">
        <f>IF(ISNUMBER(Datos!P10),Datos!P10," - ")</f>
        <v>8</v>
      </c>
      <c r="C10" s="437">
        <f>IF(ISNUMBER(Datos!Q10),Datos!Q10," - ")</f>
        <v>0</v>
      </c>
      <c r="D10" s="411">
        <f>IF(ISNUMBER(Datos!R10),Datos!R10," - ")</f>
        <v>104</v>
      </c>
    </row>
    <row r="11" spans="1:4">
      <c r="A11" s="405" t="str">
        <f>Datos!A11</f>
        <v xml:space="preserve">Jdos. Familia                                   </v>
      </c>
      <c r="B11" s="436">
        <f>IF(ISNUMBER(Datos!P11),Datos!P11," - ")</f>
        <v>66</v>
      </c>
      <c r="C11" s="437">
        <f>IF(ISNUMBER(Datos!Q11),Datos!Q11," - ")</f>
        <v>41</v>
      </c>
      <c r="D11" s="411">
        <f>IF(ISNUMBER(Datos!R11),Datos!R11," - ")</f>
        <v>692</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1138</v>
      </c>
      <c r="C13" s="856">
        <f>SUBTOTAL(9,C9:C12)</f>
        <v>948</v>
      </c>
      <c r="D13" s="854">
        <f>SUBTOTAL(9,D9:D12)</f>
        <v>15231</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75</v>
      </c>
      <c r="C15" s="437">
        <f>IF(ISNUMBER(Datos!Q15),Datos!Q15," - ")</f>
        <v>67</v>
      </c>
      <c r="D15" s="411">
        <f>IF(ISNUMBER(Datos!R15),Datos!R15," - ")</f>
        <v>340</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v>
      </c>
      <c r="C17" s="437">
        <f>IF(ISNUMBER(Datos!Q17),Datos!Q17," - ")</f>
        <v>0</v>
      </c>
      <c r="D17" s="411">
        <f>IF(ISNUMBER(Datos!R17),Datos!R17," - ")</f>
        <v>5</v>
      </c>
    </row>
    <row r="18" spans="1:4" ht="14.25" thickTop="1" thickBot="1">
      <c r="A18" s="851" t="str">
        <f>Datos!A18</f>
        <v>TOTAL</v>
      </c>
      <c r="B18" s="852">
        <f>SUBTOTAL(9,B15:B17)</f>
        <v>76</v>
      </c>
      <c r="C18" s="856">
        <f>SUBTOTAL(9,C15:C17)</f>
        <v>67</v>
      </c>
      <c r="D18" s="854">
        <f>SUBTOTAL(9,D15:D17)</f>
        <v>345</v>
      </c>
    </row>
    <row r="19" spans="1:4" ht="16.5" customHeight="1" thickTop="1" thickBot="1">
      <c r="A19" s="796" t="str">
        <f>Datos!A19</f>
        <v>TOTAL JURISDICCIONES</v>
      </c>
      <c r="B19" s="801">
        <f>SUBTOTAL(9,B8:B18)</f>
        <v>1214</v>
      </c>
      <c r="C19" s="802">
        <f>SUBTOTAL(9,C8:C18)</f>
        <v>1015</v>
      </c>
      <c r="D19" s="803">
        <f>SUBTOTAL(9,D8:D18)</f>
        <v>15576</v>
      </c>
    </row>
    <row r="20" spans="1:4" ht="7.5" customHeight="1"/>
    <row r="21" spans="1:4" ht="6" customHeight="1"/>
    <row r="22" spans="1:4">
      <c r="A22" s="394" t="str">
        <f>Criterios!A4</f>
        <v>Fecha Informe: 07 mar. 2024</v>
      </c>
    </row>
    <row r="27" spans="1:4">
      <c r="A27" s="417"/>
    </row>
  </sheetData>
  <sheetProtection algorithmName="SHA-512" hashValue="HyQAhXU1jtX5hzhjyiHQitCqqKCB6909uHG+WCyTlzGNvpaZWXTisaPXlsh9hUd5c0y+fWtF6mWAz6Az738MIA==" saltValue="6AREzApvUgsATOq4lwc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GRANOLLERS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2.5197195442594215E-3</v>
      </c>
      <c r="C9" s="459">
        <f>IF(ISNUMBER(
   IF(J_V="SI",(Datos!J9-Datos!T9)/Datos!T9,(Datos!J9+Datos!Z9-(Datos!T9+Datos!AH9))/(Datos!T9+Datos!AH9))
     ),IF(J_V="SI",(Datos!J9-Datos!T9)/Datos!T9,(Datos!J9+Datos!Z9-(Datos!T9+Datos!AH9))/(Datos!T9+Datos!AH9))," - ")</f>
        <v>1.2971698113207548E-2</v>
      </c>
      <c r="D9" s="459">
        <f>IF(ISNUMBER(
   IF(J_V="SI",(Datos!K9-Datos!U9)/Datos!U9,(Datos!K9+Datos!AA9-(Datos!U9+Datos!AI9))/(Datos!U9+Datos!AI9))
     ),IF(J_V="SI",(Datos!K9-Datos!U9)/Datos!U9,(Datos!K9+Datos!AA9-(Datos!U9+Datos!AI9))/(Datos!U9+Datos!AI9))," - ")</f>
        <v>-9.5016429353778756E-2</v>
      </c>
      <c r="E9" s="459">
        <f>IF(ISNUMBER(
   IF(J_V="SI",(Datos!L9-Datos!V9)/Datos!V9,(Datos!L9+Datos!AB9-(Datos!V9+Datos!AJ9))/(Datos!V9+Datos!AJ9))
     ),IF(J_V="SI",(Datos!L9-Datos!V9)/Datos!V9,(Datos!L9+Datos!AB9-(Datos!V9+Datos!AJ9))/(Datos!V9+Datos!AJ9))," - ")</f>
        <v>4.6050381853413883E-2</v>
      </c>
      <c r="F9" s="459">
        <f>IF(ISNUMBER((Datos!M9-Datos!W9)/Datos!W9),(Datos!M9-Datos!W9)/Datos!W9," - ")</f>
        <v>-0.10348977135980746</v>
      </c>
      <c r="G9" s="460">
        <f>IF(ISNUMBER((Datos!N9-Datos!X9)/Datos!X9),(Datos!N9-Datos!X9)/Datos!X9," - ")</f>
        <v>-6.4839572192513364E-2</v>
      </c>
      <c r="H9" s="458">
        <f>IF(ISNUMBER(((NºAsuntos!G9/NºAsuntos!E9)-Datos!BD9)/Datos!BD9),((NºAsuntos!G9/NºAsuntos!E9)-Datos!BD9)/Datos!BD9," - ")</f>
        <v>-0.10660527600931817</v>
      </c>
      <c r="I9" s="459">
        <f>IF(ISNUMBER(((NºAsuntos!I9/NºAsuntos!G9)-Datos!BE9)/Datos!BE9),((NºAsuntos!I9/NºAsuntos!G9)-Datos!BE9)/Datos!BE9," - ")</f>
        <v>0.15587775931275871</v>
      </c>
      <c r="J9" s="464">
        <f>IF(ISNUMBER((('Resol  Asuntos'!D9/NºAsuntos!G9)-Datos!BF9)/Datos!BF9),(('Resol  Asuntos'!D9/NºAsuntos!G9)-Datos!BF9)/Datos!BF9," - ")</f>
        <v>-0.44971967607012542</v>
      </c>
      <c r="K9" s="465">
        <f>IF(ISNUMBER((((NºAsuntos!C9+NºAsuntos!E9)/NºAsuntos!G9)-Datos!BG9)/Datos!BG9),(((NºAsuntos!C9+NºAsuntos!E9)/NºAsuntos!G9)-Datos!BG9)/Datos!BG9," - ")</f>
        <v>0.1109057338817649</v>
      </c>
    </row>
    <row r="10" spans="1:11">
      <c r="A10" s="405" t="str">
        <f>Datos!A10</f>
        <v>Jdos. Violencia contra la mujer</v>
      </c>
      <c r="B10" s="458">
        <f>IF(ISNUMBER((Datos!I10-Datos!S10)/Datos!S10),(Datos!I10-Datos!S10)/Datos!S10," - ")</f>
        <v>1.2987012987012988E-2</v>
      </c>
      <c r="C10" s="459">
        <f>IF(ISNUMBER((Datos!J10-Datos!T10)/Datos!T10),(Datos!J10-Datos!T10)/Datos!T10," - ")</f>
        <v>-0.19642857142857142</v>
      </c>
      <c r="D10" s="459">
        <f>IF(ISNUMBER((Datos!K10-Datos!U10)/Datos!U10),(Datos!K10-Datos!U10)/Datos!U10," - ")</f>
        <v>-0.22222222222222221</v>
      </c>
      <c r="E10" s="459">
        <f>IF(ISNUMBER((Datos!L10-Datos!V10)/Datos!V10),(Datos!L10-Datos!V10)/Datos!V10," - ")</f>
        <v>-2.0618556701030927E-2</v>
      </c>
      <c r="F10" s="459">
        <f>IF(ISNUMBER((Datos!M10-Datos!W10)/Datos!W10),(Datos!M10-Datos!W10)/Datos!W10," - ")</f>
        <v>0</v>
      </c>
      <c r="G10" s="460">
        <f>IF(ISNUMBER((Datos!N10-Datos!X10)/Datos!X10),(Datos!N10-Datos!X10)/Datos!X10," - ")</f>
        <v>-0.55000000000000004</v>
      </c>
      <c r="H10" s="458">
        <f>IF(ISNUMBER(((NºAsuntos!G10/NºAsuntos!E10)-Datos!BD10)/Datos!BD10),((NºAsuntos!G10/NºAsuntos!E10)-Datos!BD10)/Datos!BD10," - ")</f>
        <v>-3.2098765432098823E-2</v>
      </c>
      <c r="I10" s="459">
        <f>IF(ISNUMBER(((NºAsuntos!I10/NºAsuntos!G10)-Datos!BE10)/Datos!BE10),((NºAsuntos!I10/NºAsuntos!G10)-Datos!BE10)/Datos!BE10," - ")</f>
        <v>0.25920471281296015</v>
      </c>
      <c r="J10" s="464">
        <f>IF(ISNUMBER((('Resol  Asuntos'!D10/NºAsuntos!G10)-Datos!BF10)/Datos!BF10),(('Resol  Asuntos'!D10/NºAsuntos!G10)-Datos!BF10)/Datos!BF10," - ")</f>
        <v>0.2857142857142857</v>
      </c>
      <c r="K10" s="465">
        <f>IF(ISNUMBER((((NºAsuntos!C10+NºAsuntos!E10)/NºAsuntos!G10)-Datos!BG10)/Datos!BG10),(((NºAsuntos!C10+NºAsuntos!E10)/NºAsuntos!G10)-Datos!BG10)/Datos!BG10," - ")</f>
        <v>0.18904403866809885</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-0.17327065144392209</v>
      </c>
      <c r="C11" s="459">
        <f>IF(ISNUMBER(
   IF(J_V="SI",(Datos!J11-Datos!T11)/Datos!T11,(Datos!J11+Datos!Z11-(Datos!T11+Datos!AH11))/(Datos!T11+Datos!AH11))
     ),IF(J_V="SI",(Datos!J11-Datos!T11)/Datos!T11,(Datos!J11+Datos!Z11-(Datos!T11+Datos!AH11))/(Datos!T11+Datos!AH11))," - ")</f>
        <v>-7.057256990679095E-2</v>
      </c>
      <c r="D11" s="459">
        <f>IF(ISNUMBER(
   IF(J_V="SI",(Datos!K11-Datos!U11)/Datos!U11,(Datos!K11+Datos!AA11-(Datos!U11+Datos!AI11))/(Datos!U11+Datos!AI11))
     ),IF(J_V="SI",(Datos!K11-Datos!U11)/Datos!U11,(Datos!K11+Datos!AA11-(Datos!U11+Datos!AI11))/(Datos!U11+Datos!AI11))," - ")</f>
        <v>0.13648648648648648</v>
      </c>
      <c r="E11" s="459">
        <f>IF(ISNUMBER(
   IF(J_V="SI",(Datos!L11-Datos!V11)/Datos!V11,(Datos!L11+Datos!AB11-(Datos!V11+Datos!AJ11))/(Datos!V11+Datos!AJ11))
     ),IF(J_V="SI",(Datos!L11-Datos!V11)/Datos!V11,(Datos!L11+Datos!AB11-(Datos!V11+Datos!AJ11))/(Datos!V11+Datos!AJ11))," - ")</f>
        <v>-0.23933333333333334</v>
      </c>
      <c r="F11" s="459">
        <f>IF(ISNUMBER((Datos!M11-Datos!W11)/Datos!W11),(Datos!M11-Datos!W11)/Datos!W11," - ")</f>
        <v>-0.24701195219123506</v>
      </c>
      <c r="G11" s="460">
        <f>IF(ISNUMBER((Datos!N11-Datos!X11)/Datos!X11),(Datos!N11-Datos!X11)/Datos!X11," - ")</f>
        <v>0.39455782312925169</v>
      </c>
      <c r="H11" s="458">
        <f>IF(ISNUMBER(((NºAsuntos!G11/NºAsuntos!E11)-Datos!BD11)/Datos!BD11),((NºAsuntos!G11/NºAsuntos!E11)-Datos!BD11)/Datos!BD11," - ")</f>
        <v>0.22278130566096177</v>
      </c>
      <c r="I11" s="459">
        <f>IF(ISNUMBER(((NºAsuntos!I11/NºAsuntos!G11)-Datos!BE11)/Datos!BE11),((NºAsuntos!I11/NºAsuntos!G11)-Datos!BE11)/Datos!BE11," - ")</f>
        <v>-0.33068569163694023</v>
      </c>
      <c r="J11" s="464">
        <f>IF(ISNUMBER((('Resol  Asuntos'!D11/NºAsuntos!G11)-Datos!BF11)/Datos!BF11),(('Resol  Asuntos'!D11/NºAsuntos!G11)-Datos!BF11)/Datos!BF11," - ")</f>
        <v>-0.43434686597587907</v>
      </c>
      <c r="K11" s="465">
        <f>IF(ISNUMBER((((NºAsuntos!C11+NºAsuntos!E11)/NºAsuntos!G11)-Datos!BG11)/Datos!BG11),(((NºAsuntos!C11+NºAsuntos!E11)/NºAsuntos!G11)-Datos!BG11)/Datos!BG11," - ")</f>
        <v>-0.24226048921352142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-2.1881428838601086E-2</v>
      </c>
      <c r="C13" s="858">
        <f>IF(ISNUMBER(
   IF(J_V="SI",(Datos!J13-Datos!T13)/Datos!T13,(Datos!J13+Datos!Z13-(Datos!T13+Datos!AH13))/(Datos!T13+Datos!AH13))
     ),IF(J_V="SI",(Datos!J13-Datos!T13)/Datos!T13,(Datos!J13+Datos!Z13-(Datos!T13+Datos!AH13))/(Datos!T13+Datos!AH13))," - ")</f>
        <v>-4.7630388187663731E-3</v>
      </c>
      <c r="D13" s="858">
        <f>IF(ISNUMBER(
   IF(J_V="SI",(Datos!K13-Datos!U13)/Datos!U13,(Datos!K13+Datos!AA13-(Datos!U13+Datos!AI13))/(Datos!U13+Datos!AI13))
     ),IF(J_V="SI",(Datos!K13-Datos!U13)/Datos!U13,(Datos!K13+Datos!AA13-(Datos!U13+Datos!AI13))/(Datos!U13+Datos!AI13))," - ")</f>
        <v>-5.7362240289069555E-2</v>
      </c>
      <c r="E13" s="858">
        <f>IF(ISNUMBER(
   IF(J_V="SI",(Datos!L13-Datos!V13)/Datos!V13,(Datos!L13+Datos!AB13-(Datos!V13+Datos!AJ13))/(Datos!V13+Datos!AJ13))
     ),IF(J_V="SI",(Datos!L13-Datos!V13)/Datos!V13,(Datos!L13+Datos!AB13-(Datos!V13+Datos!AJ13))/(Datos!V13+Datos!AJ13))," - ")</f>
        <v>4.1465766634522661E-3</v>
      </c>
      <c r="F13" s="859">
        <f>IF(ISNUMBER((Datos!M13-Datos!W13)/Datos!W13),(Datos!M13-Datos!W13)/Datos!W13," - ")</f>
        <v>-0.13528336380255943</v>
      </c>
      <c r="G13" s="860">
        <f>IF(ISNUMBER((Datos!N13-Datos!X13)/Datos!X13),(Datos!N13-Datos!X13)/Datos!X13," - ")</f>
        <v>4.4198895027624313E-3</v>
      </c>
      <c r="H13" s="860">
        <f>IF(ISNUMBER(((NºAsuntos!G13/NºAsuntos!E13)-Datos!BD13)/Datos!BD13),((NºAsuntos!G13/NºAsuntos!E13)-Datos!BD13)/Datos!BD13," - ")</f>
        <v>-5.2850932513472795E-2</v>
      </c>
      <c r="I13" s="860">
        <f>IF(ISNUMBER(((NºAsuntos!I13/NºAsuntos!G13)-Datos!BE13)/Datos!BE13),((NºAsuntos!I13/NºAsuntos!G13)-Datos!BE13)/Datos!BE13," - ")</f>
        <v>6.5251806771865511E-2</v>
      </c>
      <c r="J13" s="860">
        <f>IF(ISNUMBER((('Resol  Asuntos'!D13/NºAsuntos!G13)-Datos!BF13)/Datos!BF13),(('Resol  Asuntos'!D13/NºAsuntos!G13)-Datos!BF13)/Datos!BF13," - ")</f>
        <v>-0.44308166350862882</v>
      </c>
      <c r="K13" s="860">
        <f>IF(ISNUMBER((((NºAsuntos!C13+NºAsuntos!E13)/NºAsuntos!G13)-Datos!BG13)/Datos!BG13),(((NºAsuntos!C13+NºAsuntos!E13)/NºAsuntos!G13)-Datos!BG13)/Datos!BG13," - ")</f>
        <v>4.2760060898874526E-2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0.12354036215941784</v>
      </c>
      <c r="C15" s="459">
        <f>IF(ISNUMBER(
   IF(D_I="SI",(Datos!J15-Datos!T15)/Datos!T15,(Datos!J15+Datos!AD15-(Datos!T15+Datos!AL15))/(Datos!T15+Datos!AL15))
     ),IF(D_I="SI",(Datos!J15-Datos!T15)/Datos!T15,(Datos!J15+Datos!AD15-(Datos!T15+Datos!AL15))/(Datos!T15+Datos!AL15))," - ")</f>
        <v>6.7071560602059682E-2</v>
      </c>
      <c r="D15" s="459">
        <f>IF(ISNUMBER(
   IF(D_I="SI",(Datos!K15-Datos!U15)/Datos!U15,(Datos!K15+Datos!AE15-(Datos!U15+Datos!AM15))/(Datos!U15+Datos!AM15))
     ),IF(D_I="SI",(Datos!K15-Datos!U15)/Datos!U15,(Datos!K15+Datos!AE15-(Datos!U15+Datos!AM15))/(Datos!U15+Datos!AM15))," - ")</f>
        <v>6.5734265734265732E-2</v>
      </c>
      <c r="E15" s="459">
        <f>IF(ISNUMBER(
   IF(D_I="SI",(Datos!L15-Datos!V15)/Datos!V15,(Datos!L15+Datos!AF15-(Datos!V15+Datos!AN15))/(Datos!V15+Datos!AN15))
     ),IF(D_I="SI",(Datos!L15-Datos!V15)/Datos!V15,(Datos!L15+Datos!AF15-(Datos!V15+Datos!AN15))/(Datos!V15+Datos!AN15))," - ")</f>
        <v>0.11121951219512195</v>
      </c>
      <c r="F15" s="459">
        <f>IF(ISNUMBER((Datos!M15-Datos!W15)/Datos!W15),(Datos!M15-Datos!W15)/Datos!W15," - ")</f>
        <v>3.1325301204819279E-2</v>
      </c>
      <c r="G15" s="460">
        <f>IF(ISNUMBER((Datos!N15-Datos!X15)/Datos!X15),(Datos!N15-Datos!X15)/Datos!X15," - ")</f>
        <v>0.17830478700043917</v>
      </c>
      <c r="H15" s="458">
        <f>IF(ISNUMBER(((NºAsuntos!G15/NºAsuntos!E15)-Datos!BD15)/Datos!BD15),((NºAsuntos!G15/NºAsuntos!E15)-Datos!BD15)/Datos!BD15," - ")</f>
        <v>-1.2532382242849943E-3</v>
      </c>
      <c r="I15" s="459">
        <f>IF(ISNUMBER(((NºAsuntos!I15/NºAsuntos!G15)-Datos!BE15)/Datos!BE15),((NºAsuntos!I15/NºAsuntos!G15)-Datos!BE15)/Datos!BE15," - ")</f>
        <v>4.2679726009858629E-2</v>
      </c>
      <c r="J15" s="464">
        <f>IF(ISNUMBER((('Resol  Asuntos'!D15/NºAsuntos!G15)-Datos!BF15)/Datos!BF15),(('Resol  Asuntos'!D15/NºAsuntos!G15)-Datos!BF15)/Datos!BF15," - ")</f>
        <v>-3.2286626822249594E-2</v>
      </c>
      <c r="K15" s="465">
        <f>IF(ISNUMBER((((NºAsuntos!C15+NºAsuntos!E15)/NºAsuntos!G15)-Datos!BG15)/Datos!BG15),(((NºAsuntos!C15+NºAsuntos!E15)/NºAsuntos!G15)-Datos!BG15)/Datos!BG15," - ")</f>
        <v>3.3545775837426302E-2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-0.60422960725075525</v>
      </c>
      <c r="C17" s="459">
        <f>IF(ISNUMBER(
   IF(D_I="SI",(Datos!J17-Datos!T17)/Datos!T17,(Datos!J17+Datos!AD17-(Datos!T17+Datos!AL17))/(Datos!T17+Datos!AL17))
     ),IF(D_I="SI",(Datos!J17-Datos!T17)/Datos!T17,(Datos!J17+Datos!AD17-(Datos!T17+Datos!AL17))/(Datos!T17+Datos!AL17))," - ")</f>
        <v>-8.6330935251798566E-2</v>
      </c>
      <c r="D17" s="459">
        <f>IF(ISNUMBER(
   IF(D_I="SI",(Datos!K17-Datos!U17)/Datos!U17,(Datos!K17+Datos!AE17-(Datos!U17+Datos!AM17))/(Datos!U17+Datos!AM17))
     ),IF(D_I="SI",(Datos!K17-Datos!U17)/Datos!U17,(Datos!K17+Datos!AE17-(Datos!U17+Datos!AM17))/(Datos!U17+Datos!AM17))," - ")</f>
        <v>-0.15267175572519084</v>
      </c>
      <c r="E17" s="459">
        <f>IF(ISNUMBER(
   IF(D_I="SI",(Datos!L17-Datos!V17)/Datos!V17,(Datos!L17+Datos!AF17-(Datos!V17+Datos!AN17))/(Datos!V17+Datos!AN17))
     ),IF(D_I="SI",(Datos!L17-Datos!V17)/Datos!V17,(Datos!L17+Datos!AF17-(Datos!V17+Datos!AN17))/(Datos!V17+Datos!AN17))," - ")</f>
        <v>0.31451612903225806</v>
      </c>
      <c r="F17" s="459">
        <f>IF(ISNUMBER((Datos!M17-Datos!W17)/Datos!W17),(Datos!M17-Datos!W17)/Datos!W17," - ")</f>
        <v>0.72222222222222221</v>
      </c>
      <c r="G17" s="460">
        <f>IF(ISNUMBER((Datos!N17-Datos!X17)/Datos!X17),(Datos!N17-Datos!X17)/Datos!X17," - ")</f>
        <v>-0.16666666666666666</v>
      </c>
      <c r="H17" s="458">
        <f>IF(ISNUMBER(((NºAsuntos!G17/NºAsuntos!E17)-Datos!BD17)/Datos!BD17),((NºAsuntos!G17/NºAsuntos!E17)-Datos!BD17)/Datos!BD17," - ")</f>
        <v>-7.2609244455130159E-2</v>
      </c>
      <c r="I17" s="459">
        <f>IF(ISNUMBER(((NºAsuntos!I17/NºAsuntos!G17)-Datos!BE17)/Datos!BE17),((NºAsuntos!I17/NºAsuntos!G17)-Datos!BE17)/Datos!BE17," - ")</f>
        <v>0.55136588201104342</v>
      </c>
      <c r="J17" s="464">
        <f>IF(ISNUMBER((('Resol  Asuntos'!D17/NºAsuntos!G17)-Datos!BF17)/Datos!BF17),(('Resol  Asuntos'!D17/NºAsuntos!G17)-Datos!BF17)/Datos!BF17," - ")</f>
        <v>1.0325325325325323</v>
      </c>
      <c r="K17" s="465">
        <f>IF(ISNUMBER((((NºAsuntos!C17+NºAsuntos!E17)/NºAsuntos!G17)-Datos!BG17)/Datos!BG17),(((NºAsuntos!C17+NºAsuntos!E17)/NºAsuntos!G17)-Datos!BG17)/Datos!BG17," - ")</f>
        <v>-0.2539090814952884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8.4935897435897439E-2</v>
      </c>
      <c r="C18" s="858">
        <f>IF(ISNUMBER(
   IF(Criterios!B14="SI",(Datos!J18-Datos!T18)/Datos!T18,(Datos!J18+Datos!AD18-(Datos!T18+Datos!AL18))/(Datos!T18+Datos!AL18))
     ),IF(Criterios!B14="SI",(Datos!J18-Datos!T18)/Datos!T18,(Datos!J18+Datos!AD18-(Datos!T18+Datos!AL18))/(Datos!T18+Datos!AL18))," - ")</f>
        <v>5.6580565805658053E-2</v>
      </c>
      <c r="D18" s="858">
        <f>IF(ISNUMBER(
   IF(Criterios!B14="SI",(Datos!K18-Datos!U18)/Datos!U18,(Datos!K18+Datos!AE18-(Datos!U18+Datos!AM18))/(Datos!U18+Datos!AM18))
     ),IF(Criterios!B14="SI",(Datos!K18-Datos!U18)/Datos!U18,(Datos!K18+Datos!AE18-(Datos!U18+Datos!AM18))/(Datos!U18+Datos!AM18))," - ")</f>
        <v>5.08209538702111E-2</v>
      </c>
      <c r="E18" s="858">
        <f>IF(ISNUMBER(
   IF(Criterios!B14="SI",(Datos!L18-Datos!V18)/Datos!V18,(Datos!L18+Datos!AF18-(Datos!V18+Datos!AN18))/(Datos!V18+Datos!AN18))
     ),IF(Criterios!B14="SI",(Datos!L18-Datos!V18)/Datos!V18,(Datos!L18+Datos!AF18-(Datos!V18+Datos!AN18))/(Datos!V18+Datos!AN18))," - ")</f>
        <v>0.11523748804590372</v>
      </c>
      <c r="F18" s="859">
        <f>IF(ISNUMBER((Datos!M18-Datos!W18)/Datos!W18),(Datos!M18-Datos!W18)/Datos!W18," - ")</f>
        <v>6.0046189376443418E-2</v>
      </c>
      <c r="G18" s="860">
        <f>IF(ISNUMBER((Datos!N18-Datos!X18)/Datos!X18),(Datos!N18-Datos!X18)/Datos!X18," - ")</f>
        <v>0.16434892541087232</v>
      </c>
      <c r="H18" s="860">
        <f>IF(ISNUMBER(((NºAsuntos!G18/NºAsuntos!E18)-Datos!BD18)/Datos!BD18),((NºAsuntos!G18/NºAsuntos!E18)-Datos!BD18)/Datos!BD18," - ")</f>
        <v>-5.4511810285429122E-3</v>
      </c>
      <c r="I18" s="860">
        <f>IF(ISNUMBER(((NºAsuntos!I18/NºAsuntos!G18)-Datos!BE18)/Datos!BE18),((NºAsuntos!I18/NºAsuntos!G18)-Datos!BE18)/Datos!BE18," - ")</f>
        <v>6.130115119844564E-2</v>
      </c>
      <c r="J18" s="860">
        <f>IF(ISNUMBER((('Resol  Asuntos'!D18/NºAsuntos!G18)-Datos!BF18)/Datos!BF18),(('Resol  Asuntos'!D18/NºAsuntos!G18)-Datos!BF18)/Datos!BF18," - ")</f>
        <v>8.7790745628505799E-3</v>
      </c>
      <c r="K18" s="860">
        <f>IF(ISNUMBER((((NºAsuntos!C18+NºAsuntos!E18)/NºAsuntos!G18)-Datos!BG18)/Datos!BG18),(((NºAsuntos!C18+NºAsuntos!E18)/NºAsuntos!G18)-Datos!BG18)/Datos!BG18," - ")</f>
        <v>2.1820703657494108E-2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1.7479626786346993E-2</v>
      </c>
      <c r="C19" s="805">
        <f>IF(ISNUMBER(
   IF(J_V="SI",(Datos!J19-Datos!T19)/Datos!T19,(Datos!J19+Datos!Z19-(Datos!T19+Datos!AH19))/(Datos!T19+Datos!AH19))
     ),IF(J_V="SI",(Datos!J19-Datos!T19)/Datos!T19,(Datos!J19+Datos!Z19-(Datos!T19+Datos!AH19))/(Datos!T19+Datos!AH19))," - ")</f>
        <v>2.5411423039690222E-2</v>
      </c>
      <c r="D19" s="805">
        <f>IF(ISNUMBER(
   IF(J_V="SI",(Datos!K19-Datos!U19)/Datos!U19,(Datos!K19+Datos!AA19-(Datos!U19+Datos!AI19))/(Datos!U19+Datos!AI19))
     ),IF(J_V="SI",(Datos!K19-Datos!U19)/Datos!U19,(Datos!K19+Datos!AA19-(Datos!U19+Datos!AI19))/(Datos!U19+Datos!AI19))," - ")</f>
        <v>-7.1385359951603149E-3</v>
      </c>
      <c r="E19" s="805">
        <f>IF(ISNUMBER(
   IF(J_V="SI",(Datos!L19-Datos!V19)/Datos!V19,(Datos!L19+Datos!AB19-(Datos!V19+Datos!AJ19))/(Datos!V19+Datos!AJ19))
     ),IF(J_V="SI",(Datos!L19-Datos!V19)/Datos!V19,(Datos!L19+Datos!AB19-(Datos!V19+Datos!AJ19))/(Datos!V19+Datos!AJ19))," - ")</f>
        <v>4.6022590723383799E-2</v>
      </c>
      <c r="F19" s="806">
        <f>IF(ISNUMBER((Datos!M19-Datos!W19)/Datos!W19),(Datos!M19-Datos!W19)/Datos!W19," - ")</f>
        <v>-7.9895219384413879E-2</v>
      </c>
      <c r="G19" s="807">
        <f>IF(ISNUMBER((Datos!N19-Datos!X19)/Datos!X19),(Datos!N19-Datos!X19)/Datos!X19," - ")</f>
        <v>9.5147023667224481E-2</v>
      </c>
      <c r="H19" s="808">
        <f>IF(ISNUMBER((Tasas!B19-Datos!BD19)/Datos!BD19),(Tasas!B19-Datos!BD19)/Datos!BD19," - ")</f>
        <v>-3.1743316198254115E-2</v>
      </c>
      <c r="I19" s="809">
        <f>IF(ISNUMBER((Tasas!C19-Datos!BE19)/Datos!BE19),(Tasas!C19-Datos!BE19)/Datos!BE19," - ")</f>
        <v>5.3543347834361071E-2</v>
      </c>
      <c r="J19" s="810">
        <f>IF(ISNUMBER((Tasas!D19-Datos!BF19)/Datos!BF19),(Tasas!D19-Datos!BF19)/Datos!BF19," - ")</f>
        <v>-0.36684485243241566</v>
      </c>
      <c r="K19" s="810">
        <f>IF(ISNUMBER((Tasas!E19-Datos!BG19)/Datos!BG19),(Tasas!E19-Datos!BG19)/Datos!BG19," - ")</f>
        <v>2.7415199187630194E-2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ESXebyKIT2zvFyxEcYQKCTF4s+506lfFCCqtquopvbk2Rii4T51sR78XOelKcZ+S90CF7+GmR+TH8AJf4M2wUw==" saltValue="k438s9oQKi9YtG6PFdll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GRANOLLERS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0.96187427240977885</v>
      </c>
      <c r="C9" s="446">
        <f>IF(ISNUMBER(NºAsuntos!I9/NºAsuntos!G9),NºAsuntos!I9/NºAsuntos!G9," - ")</f>
        <v>2.7767019667170953</v>
      </c>
      <c r="D9" s="447">
        <f>IF(ISNUMBER('Resol  Asuntos'!D9/NºAsuntos!G9),'Resol  Asuntos'!D9/NºAsuntos!G9," - ")</f>
        <v>0.22541603630862331</v>
      </c>
      <c r="E9" s="448">
        <f>IF(ISNUMBER((NºAsuntos!C9+NºAsuntos!E9)/NºAsuntos!G9),(NºAsuntos!C9+NºAsuntos!E9)/NºAsuntos!G9," - ")</f>
        <v>3.8084720121028743</v>
      </c>
      <c r="G9" s="466"/>
    </row>
    <row r="10" spans="1:7">
      <c r="A10" s="405" t="str">
        <f>Datos!A10</f>
        <v>Jdos. Violencia contra la mujer</v>
      </c>
      <c r="B10" s="445">
        <f>IF(ISNUMBER(NºAsuntos!G10/NºAsuntos!E10),NºAsuntos!G10/NºAsuntos!E10," - ")</f>
        <v>0.62222222222222223</v>
      </c>
      <c r="C10" s="446">
        <f>IF(ISNUMBER(NºAsuntos!I10/NºAsuntos!G10),NºAsuntos!I10/NºAsuntos!G10," - ")</f>
        <v>3.3928571428571428</v>
      </c>
      <c r="D10" s="447">
        <f>IF(ISNUMBER('Resol  Asuntos'!D10/NºAsuntos!G10),'Resol  Asuntos'!D10/NºAsuntos!G10," - ")</f>
        <v>0.42857142857142855</v>
      </c>
      <c r="E10" s="448">
        <f>IF(ISNUMBER((NºAsuntos!C10+NºAsuntos!E10)/NºAsuntos!G10),(NºAsuntos!C10+NºAsuntos!E10)/NºAsuntos!G10," - ")</f>
        <v>4.3928571428571432</v>
      </c>
      <c r="G10" s="466"/>
    </row>
    <row r="11" spans="1:7">
      <c r="A11" s="405" t="str">
        <f>Datos!A11</f>
        <v xml:space="preserve">Jdos. Familia                                   </v>
      </c>
      <c r="B11" s="445">
        <f>IF(ISNUMBER(NºAsuntos!G11/NºAsuntos!E11),NºAsuntos!G11/NºAsuntos!E11," - ")</f>
        <v>1.2048710601719197</v>
      </c>
      <c r="C11" s="446">
        <f>IF(ISNUMBER(NºAsuntos!I11/NºAsuntos!G11),NºAsuntos!I11/NºAsuntos!G11," - ")</f>
        <v>1.356718192627824</v>
      </c>
      <c r="D11" s="447">
        <f>IF(ISNUMBER('Resol  Asuntos'!D11/NºAsuntos!G11),'Resol  Asuntos'!D11/NºAsuntos!G11," - ")</f>
        <v>0.22473246135552913</v>
      </c>
      <c r="E11" s="448">
        <f>IF(ISNUMBER((NºAsuntos!C11+NºAsuntos!E11)/NºAsuntos!G11),(NºAsuntos!C11+NºAsuntos!E11)/NºAsuntos!G11," - ")</f>
        <v>2.2936979785969083</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0.99880354151710937</v>
      </c>
      <c r="C13" s="862">
        <f>IF(ISNUMBER(NºAsuntos!I13/NºAsuntos!G13),NºAsuntos!I13/NºAsuntos!G13," - ")</f>
        <v>2.4947292764734068</v>
      </c>
      <c r="D13" s="863">
        <f>IF(ISNUMBER('Resol  Asuntos'!D13/NºAsuntos!G13),'Resol  Asuntos'!D13/NºAsuntos!G13," - ")</f>
        <v>0.22664111164350742</v>
      </c>
      <c r="E13" s="864">
        <f>IF(ISNUMBER((NºAsuntos!C13+NºAsuntos!E13)/NºAsuntos!G13),(NºAsuntos!C13+NºAsuntos!E13)/NºAsuntos!G13," - ")</f>
        <v>3.507187350263536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0.94283593170007429</v>
      </c>
      <c r="C15" s="446">
        <f>IF(ISNUMBER(NºAsuntos!I15/NºAsuntos!G15),NºAsuntos!I15/NºAsuntos!G15," - ")</f>
        <v>1.7937007874015749</v>
      </c>
      <c r="D15" s="447">
        <f>IF(ISNUMBER('Resol  Asuntos'!D15/NºAsuntos!G15),'Resol  Asuntos'!D15/NºAsuntos!G15," - ")</f>
        <v>0.11233595800524934</v>
      </c>
      <c r="E15" s="448">
        <f>IF(ISNUMBER((NºAsuntos!C15+NºAsuntos!E15)/NºAsuntos!G15),(NºAsuntos!C15+NºAsuntos!E15)/NºAsuntos!G15," - ")</f>
        <v>2.8031496062992125</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0.87401574803149606</v>
      </c>
      <c r="C17" s="446">
        <f>IF(ISNUMBER(NºAsuntos!I17/NºAsuntos!G17),NºAsuntos!I17/NºAsuntos!G17," - ")</f>
        <v>0.73423423423423428</v>
      </c>
      <c r="D17" s="447">
        <f>IF(ISNUMBER('Resol  Asuntos'!D17/NºAsuntos!G17),'Resol  Asuntos'!D17/NºAsuntos!G17," - ")</f>
        <v>0.13963963963963963</v>
      </c>
      <c r="E17" s="448">
        <f>IF(ISNUMBER((NºAsuntos!C17+NºAsuntos!E17)/NºAsuntos!G17),(NºAsuntos!C17+NºAsuntos!E17)/NºAsuntos!G17," - ")</f>
        <v>1.7342342342342343</v>
      </c>
      <c r="G17" s="466"/>
    </row>
    <row r="18" spans="1:7" ht="14.25" thickTop="1" thickBot="1">
      <c r="A18" s="851" t="str">
        <f>Datos!A18</f>
        <v>TOTAL</v>
      </c>
      <c r="B18" s="861">
        <f>IF(ISNUMBER(NºAsuntos!G18/NºAsuntos!E18),NºAsuntos!G18/NºAsuntos!E18," - ")</f>
        <v>0.93876600698486612</v>
      </c>
      <c r="C18" s="862">
        <f>IF(ISNUMBER(NºAsuntos!I18/NºAsuntos!G18),NºAsuntos!I18/NºAsuntos!G18," - ")</f>
        <v>1.7353670634920635</v>
      </c>
      <c r="D18" s="865">
        <f>IF(ISNUMBER('Resol  Asuntos'!D18/NºAsuntos!G18),'Resol  Asuntos'!D18/NºAsuntos!G18," - ")</f>
        <v>0.11383928571428571</v>
      </c>
      <c r="E18" s="864">
        <f>IF(ISNUMBER((NºAsuntos!C18+NºAsuntos!E18)/NºAsuntos!G18),(NºAsuntos!C18+NºAsuntos!E18)/NºAsuntos!G18," - ")</f>
        <v>2.7442956349206349</v>
      </c>
      <c r="G18" s="466"/>
    </row>
    <row r="19" spans="1:7" ht="15.75" customHeight="1" thickTop="1" thickBot="1">
      <c r="A19" s="796" t="str">
        <f>Datos!A19</f>
        <v>TOTAL JURISDICCIONES</v>
      </c>
      <c r="B19" s="811">
        <f>IF(ISNUMBER(NºAsuntos!G19/NºAsuntos!E19),NºAsuntos!G19/NºAsuntos!E19," - ")</f>
        <v>0.96837384942176064</v>
      </c>
      <c r="C19" s="812">
        <f>IF(ISNUMBER(NºAsuntos!I19/NºAsuntos!G19),NºAsuntos!I19/NºAsuntos!G19," - ")</f>
        <v>2.1216183280526444</v>
      </c>
      <c r="D19" s="813">
        <f>IF(ISNUMBER('Resol  Asuntos'!D19/NºAsuntos!G19),'Resol  Asuntos'!D19/NºAsuntos!G19," - ")</f>
        <v>0.17121618328052646</v>
      </c>
      <c r="E19" s="814">
        <f>IF(ISNUMBER((NºAsuntos!C19+NºAsuntos!E19)/NºAsuntos!G19),(NºAsuntos!C19+NºAsuntos!E19)/NºAsuntos!G19," - ")</f>
        <v>3.1323421886424567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Ce7sOUer+d55un3zcmwoTLS+iy8lEqepAdyZT05tJOeZm5+sihOxemHPrZsZormM0lABzCAxevzEk6uhaj8w==" saltValue="kjeS4RM6Dnj1rA1N77gl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GRANOLLERS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8</v>
      </c>
      <c r="B9" s="180" t="s">
        <v>249</v>
      </c>
      <c r="C9" s="163" t="str">
        <f>Datos!A9</f>
        <v xml:space="preserve">Jdos. 1ª Instancia   </v>
      </c>
      <c r="D9" s="163"/>
      <c r="E9" s="1028">
        <f>IF(ISNUMBER(Datos!AQ9),Datos!AQ9," - ")</f>
        <v>8</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1064</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907</v>
      </c>
      <c r="Y9" s="337">
        <f>SUM(W9:X9)</f>
        <v>907</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14435</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745</v>
      </c>
      <c r="AJ9" s="232" t="str">
        <f>IF(ISNUMBER(Datos!BW9),Datos!BW9," - ")</f>
        <v xml:space="preserve"> - </v>
      </c>
      <c r="AK9" s="231" t="str">
        <f>IF(ISNUMBER(Datos!BX9),Datos!BX9," - ")</f>
        <v xml:space="preserve"> - </v>
      </c>
      <c r="AL9" s="246">
        <f>IF(ISNUMBER(NºAsuntos!G9/NºAsuntos!E9),NºAsuntos!G9/NºAsuntos!E9," - ")</f>
        <v>0.96187427240977885</v>
      </c>
      <c r="AM9" s="263">
        <f>IF(ISNUMBER(((NºAsuntos!I9/NºAsuntos!G9)*11)/factor_trimestre),((NºAsuntos!I9/NºAsuntos!G9)*11)/factor_trimestre," - ")</f>
        <v>8.3301059001512865</v>
      </c>
      <c r="AN9" s="247">
        <f>IF(ISNUMBER('Resol  Asuntos'!D9/NºAsuntos!G9),'Resol  Asuntos'!D9/NºAsuntos!G9," - ")</f>
        <v>0.22541603630862331</v>
      </c>
      <c r="AO9" s="248">
        <f>IF(ISNUMBER((NºAsuntos!C9+NºAsuntos!E9)/NºAsuntos!G9),(NºAsuntos!C9+NºAsuntos!E9)/NºAsuntos!G9," - ")</f>
        <v>3.8084720121028743</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78</v>
      </c>
      <c r="G10" s="336">
        <f>IF(ISNUMBER(Datos!I10),Datos!I10," - ")</f>
        <v>78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8</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28</v>
      </c>
      <c r="X10" s="229">
        <f>IF(ISNUMBER(Datos!Q10),Datos!Q10," - ")</f>
        <v>0</v>
      </c>
      <c r="Y10" s="337">
        <f t="shared" ref="Y10:Y12" si="0">SUM(W10:X10)</f>
        <v>28</v>
      </c>
      <c r="Z10" s="338" t="str">
        <f>IF(ISNUMBER(Datos!CC10),Datos!CC10," - ")</f>
        <v xml:space="preserve"> - </v>
      </c>
      <c r="AA10" s="335">
        <f>IF(ISNUMBER(Datos!L10),Datos!L10,"-")</f>
        <v>95</v>
      </c>
      <c r="AB10" s="337">
        <f>IF(ISNUMBER(Datos!R10),Datos!R10," - ")</f>
        <v>104</v>
      </c>
      <c r="AC10" s="337">
        <f t="shared" ref="AC10:AC12" si="1">IF(ISNUMBER(AA10+AB10),AA10+AB10," - ")</f>
        <v>199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12</v>
      </c>
      <c r="AJ10" s="234" t="str">
        <f>IF(ISNUMBER(Datos!BW10),Datos!BW10," - ")</f>
        <v xml:space="preserve"> - </v>
      </c>
      <c r="AK10" s="235" t="str">
        <f>IF(ISNUMBER(Datos!BX10),Datos!BX10," - ")</f>
        <v xml:space="preserve"> - </v>
      </c>
      <c r="AL10" s="246">
        <f>IF(ISNUMBER(NºAsuntos!G10/NºAsuntos!E10),NºAsuntos!G10/NºAsuntos!E10," - ")</f>
        <v>0.62222222222222223</v>
      </c>
      <c r="AM10" s="263">
        <f>IF(ISNUMBER(((NºAsuntos!I10/NºAsuntos!G10)*11)/factor_trimestre),((NºAsuntos!I10/NºAsuntos!G10)*11)/factor_trimestre," - ")</f>
        <v>10.178571428571429</v>
      </c>
      <c r="AN10" s="247">
        <f>IF(ISNUMBER('Resol  Asuntos'!D10/NºAsuntos!G10),'Resol  Asuntos'!D10/NºAsuntos!G10," - ")</f>
        <v>0.42857142857142855</v>
      </c>
      <c r="AO10" s="248">
        <f>IF(ISNUMBER((NºAsuntos!C10+NºAsuntos!E10)/NºAsuntos!G10),(NºAsuntos!C10+NºAsuntos!E10)/NºAsuntos!G10," - ")</f>
        <v>4.3928571428571432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249</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66</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41</v>
      </c>
      <c r="Y11" s="337">
        <f t="shared" si="0"/>
        <v>41</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692</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189</v>
      </c>
      <c r="AJ11" s="234" t="str">
        <f>IF(ISNUMBER(Datos!BW11),Datos!BW11," - ")</f>
        <v xml:space="preserve"> - </v>
      </c>
      <c r="AK11" s="235" t="str">
        <f>IF(ISNUMBER(Datos!BX11),Datos!BX11," - ")</f>
        <v xml:space="preserve"> - </v>
      </c>
      <c r="AL11" s="246">
        <f>IF(ISNUMBER(NºAsuntos!G11/NºAsuntos!E11),NºAsuntos!G11/NºAsuntos!E11," - ")</f>
        <v>1.2048710601719197</v>
      </c>
      <c r="AM11" s="263">
        <f>IF(ISNUMBER(((NºAsuntos!I11/NºAsuntos!G11)*11)/factor_trimestre),((NºAsuntos!I11/NºAsuntos!G11)*11)/factor_trimestre," - ")</f>
        <v>4.0701545778834722</v>
      </c>
      <c r="AN11" s="247">
        <f>IF(ISNUMBER('Resol  Asuntos'!D11/NºAsuntos!G11),'Resol  Asuntos'!D11/NºAsuntos!G11," - ")</f>
        <v>0.22473246135552913</v>
      </c>
      <c r="AO11" s="248">
        <f>IF(ISNUMBER((NºAsuntos!C11+NºAsuntos!E11)/NºAsuntos!G11),(NºAsuntos!C11+NºAsuntos!E11)/NºAsuntos!G11," - ")</f>
        <v>2.2936979785969083</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11</v>
      </c>
      <c r="F13" s="868">
        <f t="shared" si="3"/>
        <v>78</v>
      </c>
      <c r="G13" s="869">
        <f t="shared" si="3"/>
        <v>78</v>
      </c>
      <c r="H13" s="868">
        <f t="shared" si="3"/>
        <v>0</v>
      </c>
      <c r="I13" s="870">
        <f t="shared" si="3"/>
        <v>0</v>
      </c>
      <c r="J13" s="870">
        <f t="shared" si="3"/>
        <v>0</v>
      </c>
      <c r="K13" s="870">
        <f t="shared" si="3"/>
        <v>0</v>
      </c>
      <c r="L13" s="870">
        <f t="shared" si="3"/>
        <v>1138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28</v>
      </c>
      <c r="X13" s="870">
        <f t="shared" si="4"/>
        <v>948</v>
      </c>
      <c r="Y13" s="871">
        <f t="shared" si="4"/>
        <v>976</v>
      </c>
      <c r="Z13" s="871">
        <f t="shared" si="4"/>
        <v>0</v>
      </c>
      <c r="AA13" s="871">
        <f t="shared" si="4"/>
        <v>95</v>
      </c>
      <c r="AB13" s="871">
        <f t="shared" si="4"/>
        <v>15231</v>
      </c>
      <c r="AC13" s="871">
        <f t="shared" si="4"/>
        <v>199</v>
      </c>
      <c r="AD13" s="871">
        <f t="shared" si="4"/>
        <v>0</v>
      </c>
      <c r="AE13" s="875">
        <f t="shared" si="4"/>
        <v>0</v>
      </c>
      <c r="AF13" s="868">
        <f t="shared" si="4"/>
        <v>0</v>
      </c>
      <c r="AG13" s="876">
        <f t="shared" si="4"/>
        <v>0</v>
      </c>
      <c r="AH13" s="873">
        <f t="shared" si="4"/>
        <v>0</v>
      </c>
      <c r="AI13" s="868">
        <f t="shared" si="4"/>
        <v>946</v>
      </c>
      <c r="AJ13" s="870">
        <f t="shared" si="4"/>
        <v>0</v>
      </c>
      <c r="AK13" s="873">
        <f>SUBTOTAL(9,AK9:AK12)</f>
        <v>0</v>
      </c>
      <c r="AL13" s="877">
        <f>IF(ISNUMBER(NºAsuntos!G13/NºAsuntos!E13),NºAsuntos!G13/NºAsuntos!E13," - ")</f>
        <v>0.99880354151710937</v>
      </c>
      <c r="AM13" s="877">
        <f>IF(ISNUMBER(((NºAsuntos!I13/NºAsuntos!G13)*11)/factor_trimestre),((NºAsuntos!I13/NºAsuntos!G13)*11)/factor_trimestre," - ")</f>
        <v>7.4841878294202209</v>
      </c>
      <c r="AN13" s="878">
        <f>IF(ISNUMBER('Resol  Asuntos'!D13/NºAsuntos!G13),'Resol  Asuntos'!D13/NºAsuntos!G13," - ")</f>
        <v>0.22664111164350742</v>
      </c>
      <c r="AO13" s="879">
        <f>IF(ISNUMBER((NºAsuntos!C13+NºAsuntos!E13)/NºAsuntos!G13),(NºAsuntos!C13+NºAsuntos!E13)/NºAsuntos!G13," - ")</f>
        <v>3.507187350263536</v>
      </c>
      <c r="AP13" s="880" t="str">
        <f t="shared" si="2"/>
        <v xml:space="preserve"> - </v>
      </c>
      <c r="AQ13" s="880">
        <f>IF(ISNUMBER((H13-W13+K13)/(F13)),(H13-W13+K13)/(F13)," - ")</f>
        <v>-0.35897435897435898</v>
      </c>
      <c r="AR13" s="881">
        <f>IF(ISNUMBER((Datos!P13-Datos!Q13)/(Datos!R13-Datos!P13+Datos!Q13)),(Datos!P13-Datos!Q13)/(Datos!R13-Datos!P13+Datos!Q13)," - ")</f>
        <v>1.2632138820557144E-2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400</v>
      </c>
      <c r="C15" s="163" t="str">
        <f>Datos!A15</f>
        <v xml:space="preserve">Jdos. Instrucción                               </v>
      </c>
      <c r="D15" s="163"/>
      <c r="E15" s="1028">
        <f>IF(ISNUMBER(Datos!AQ15),Datos!AQ15," - ")</f>
        <v>4</v>
      </c>
      <c r="F15" s="228">
        <f>IF(ISNUMBER(AA15+W15-Datos!J15-K15),AA15+W15-Datos!J15-K15," - ")</f>
        <v>6603</v>
      </c>
      <c r="G15" s="336">
        <f>IF(ISNUMBER(IF(D_I="SI",Datos!I15,Datos!I15+Datos!AC15)),IF(D_I="SI",Datos!I15,Datos!I15+Datos!AC15)," - ")</f>
        <v>6639</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75</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3810</v>
      </c>
      <c r="X15" s="229">
        <f>IF(ISNUMBER(Datos!Q15),Datos!Q15," - ")</f>
        <v>67</v>
      </c>
      <c r="Y15" s="337">
        <f>SUM(W15)</f>
        <v>3810</v>
      </c>
      <c r="Z15" s="338" t="str">
        <f>IF(ISNUMBER(Datos!CC15),Datos!CC15," - ")</f>
        <v xml:space="preserve"> - </v>
      </c>
      <c r="AA15" s="335">
        <f>IF(ISNUMBER(IF(D_I="SI",Datos!L15,Datos!L15+Datos!AF15)),IF(D_I="SI",Datos!L15,Datos!L15+Datos!AF15)," - ")</f>
        <v>6834</v>
      </c>
      <c r="AB15" s="337">
        <f>IF(ISNUMBER(Datos!R15),Datos!R15," - ")</f>
        <v>340</v>
      </c>
      <c r="AC15" s="337">
        <f t="shared" ref="AC15:AC17" si="6">IF(ISNUMBER(AA15+AB15),AA15+AB15," - ")</f>
        <v>7174</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428</v>
      </c>
      <c r="AJ15" s="234" t="str">
        <f>IF(ISNUMBER(Datos!BW15),Datos!BW15," - ")</f>
        <v xml:space="preserve"> - </v>
      </c>
      <c r="AK15" s="235" t="str">
        <f>IF(ISNUMBER(Datos!BX15),Datos!BX15," - ")</f>
        <v xml:space="preserve"> - </v>
      </c>
      <c r="AL15" s="246">
        <f>IF(ISNUMBER(NºAsuntos!G15/NºAsuntos!E15),NºAsuntos!G15/NºAsuntos!E15," - ")</f>
        <v>0.94283593170007429</v>
      </c>
      <c r="AM15" s="263">
        <f>IF(ISNUMBER(((NºAsuntos!I15/NºAsuntos!G15)*11)/factor_trimestre),((NºAsuntos!I15/NºAsuntos!G15)*11)/factor_trimestre," - ")</f>
        <v>5.3811023622047252</v>
      </c>
      <c r="AN15" s="247">
        <f>IF(ISNUMBER('Resol  Asuntos'!D15/NºAsuntos!G15),'Resol  Asuntos'!D15/NºAsuntos!G15," - ")</f>
        <v>0.11233595800524934</v>
      </c>
      <c r="AO15" s="248">
        <f>IF(ISNUMBER((NºAsuntos!C15+NºAsuntos!E15)/NºAsuntos!G15),(NºAsuntos!C15+NºAsuntos!E15)/NºAsuntos!G15," - ")</f>
        <v>2.8031496062992125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131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222</v>
      </c>
      <c r="X17" s="229">
        <f>IF(ISNUMBER(Datos!Q17),Datos!Q17," - ")</f>
        <v>0</v>
      </c>
      <c r="Y17" s="337">
        <f t="shared" si="7"/>
        <v>222</v>
      </c>
      <c r="Z17" s="338" t="str">
        <f>IF(ISNUMBER(Datos!CC17),Datos!CC17," - ")</f>
        <v xml:space="preserve"> - </v>
      </c>
      <c r="AA17" s="335">
        <f>IF(ISNUMBER(Datos!L17),Datos!L17,"-")</f>
        <v>163</v>
      </c>
      <c r="AB17" s="337">
        <f>IF(ISNUMBER(Datos!R17),Datos!R17," - ")</f>
        <v>5</v>
      </c>
      <c r="AC17" s="337">
        <f t="shared" si="6"/>
        <v>168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31</v>
      </c>
      <c r="AJ17" s="234" t="str">
        <f>IF(ISNUMBER(Datos!BW17),Datos!BW17," - ")</f>
        <v xml:space="preserve"> - </v>
      </c>
      <c r="AK17" s="235" t="str">
        <f>IF(ISNUMBER(Datos!BX17),Datos!BX17," - ")</f>
        <v xml:space="preserve"> - </v>
      </c>
      <c r="AL17" s="246">
        <f>IF(ISNUMBER(NºAsuntos!G17/NºAsuntos!E17),NºAsuntos!G17/NºAsuntos!E17," - ")</f>
        <v>0.87401574803149606</v>
      </c>
      <c r="AM17" s="263">
        <f>IF(ISNUMBER(((NºAsuntos!I17/NºAsuntos!G17)*11)/factor_trimestre),((NºAsuntos!I17/NºAsuntos!G17)*11)/factor_trimestre," - ")</f>
        <v>2.2027027027027031</v>
      </c>
      <c r="AN17" s="247">
        <f>IF(ISNUMBER('Resol  Asuntos'!D17/NºAsuntos!G17),'Resol  Asuntos'!D17/NºAsuntos!G17," - ")</f>
        <v>0.13963963963963963</v>
      </c>
      <c r="AO17" s="248">
        <f>IF(ISNUMBER((NºAsuntos!C17+NºAsuntos!E17)/NºAsuntos!G17),(NºAsuntos!C17+NºAsuntos!E17)/NºAsuntos!G17," - ")</f>
        <v>1.7342342342342343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6603</v>
      </c>
      <c r="G18" s="869">
        <f>SUBTOTAL(9,G15:G17)</f>
        <v>6770</v>
      </c>
      <c r="H18" s="868">
        <f t="shared" ref="H18:O18" si="10">SUBTOTAL(9,H14:H17)</f>
        <v>0</v>
      </c>
      <c r="I18" s="870">
        <f t="shared" si="10"/>
        <v>0</v>
      </c>
      <c r="J18" s="870">
        <f t="shared" si="10"/>
        <v>0</v>
      </c>
      <c r="K18" s="870">
        <f t="shared" si="10"/>
        <v>0</v>
      </c>
      <c r="L18" s="870">
        <f t="shared" si="10"/>
        <v>76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4032</v>
      </c>
      <c r="X18" s="870">
        <f t="shared" si="11"/>
        <v>67</v>
      </c>
      <c r="Y18" s="871">
        <f t="shared" si="11"/>
        <v>4032</v>
      </c>
      <c r="Z18" s="871">
        <f t="shared" si="11"/>
        <v>0</v>
      </c>
      <c r="AA18" s="871">
        <f t="shared" si="11"/>
        <v>6997</v>
      </c>
      <c r="AB18" s="871">
        <f t="shared" si="11"/>
        <v>345</v>
      </c>
      <c r="AC18" s="871">
        <f t="shared" si="11"/>
        <v>7342</v>
      </c>
      <c r="AD18" s="871">
        <f t="shared" si="11"/>
        <v>0</v>
      </c>
      <c r="AE18" s="875">
        <f t="shared" si="11"/>
        <v>0</v>
      </c>
      <c r="AF18" s="868">
        <f t="shared" si="11"/>
        <v>0</v>
      </c>
      <c r="AG18" s="876">
        <f t="shared" si="11"/>
        <v>0</v>
      </c>
      <c r="AH18" s="873">
        <f t="shared" si="11"/>
        <v>0</v>
      </c>
      <c r="AI18" s="868">
        <f t="shared" si="11"/>
        <v>459</v>
      </c>
      <c r="AJ18" s="870">
        <f t="shared" si="11"/>
        <v>0</v>
      </c>
      <c r="AK18" s="873">
        <f t="shared" si="11"/>
        <v>0</v>
      </c>
      <c r="AL18" s="877">
        <f>IF(ISNUMBER(NºAsuntos!G18/NºAsuntos!E18),NºAsuntos!G18/NºAsuntos!E18," - ")</f>
        <v>0.93876600698486612</v>
      </c>
      <c r="AM18" s="877">
        <f>IF(ISNUMBER(((NºAsuntos!I18/NºAsuntos!G18)*11)/factor_trimestre),((NºAsuntos!I18/NºAsuntos!G18)*11)/factor_trimestre," - ")</f>
        <v>5.2061011904761907</v>
      </c>
      <c r="AN18" s="878">
        <f>IF(ISNUMBER('Resol  Asuntos'!D18/NºAsuntos!G18),'Resol  Asuntos'!D18/NºAsuntos!G18," - ")</f>
        <v>0.11383928571428571</v>
      </c>
      <c r="AO18" s="879">
        <f>IF(ISNUMBER((NºAsuntos!C18+NºAsuntos!E18)/NºAsuntos!G18),(NºAsuntos!C18+NºAsuntos!E18)/NºAsuntos!G18," - ")</f>
        <v>2.7442956349206349</v>
      </c>
      <c r="AP18" s="880" t="str">
        <f t="shared" si="2"/>
        <v xml:space="preserve"> - </v>
      </c>
      <c r="AQ18" s="880">
        <f>IF(ISNUMBER((H18-W18+K18)/(F18)),(H18-W18+K18)/(F18)," - ")</f>
        <v>-0.61063153112221713</v>
      </c>
      <c r="AR18" s="881">
        <f>IF(ISNUMBER((Datos!P18-Datos!Q18)/(Datos!R18-Datos!P18+Datos!Q18)),(Datos!P18-Datos!Q18)/(Datos!R18-Datos!P18+Datos!Q18)," - ")</f>
        <v>2.6785714285714284E-2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6681</v>
      </c>
      <c r="G19" s="824">
        <f t="shared" si="13"/>
        <v>6848</v>
      </c>
      <c r="H19" s="823">
        <f t="shared" si="13"/>
        <v>0</v>
      </c>
      <c r="I19" s="825">
        <f t="shared" si="13"/>
        <v>0</v>
      </c>
      <c r="J19" s="825">
        <f t="shared" si="13"/>
        <v>0</v>
      </c>
      <c r="K19" s="884">
        <f t="shared" si="13"/>
        <v>0</v>
      </c>
      <c r="L19" s="825">
        <f t="shared" si="13"/>
        <v>1214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4060</v>
      </c>
      <c r="X19" s="824">
        <f t="shared" si="14"/>
        <v>1015</v>
      </c>
      <c r="Y19" s="831">
        <f t="shared" si="14"/>
        <v>5008</v>
      </c>
      <c r="Z19" s="831">
        <f t="shared" si="14"/>
        <v>0</v>
      </c>
      <c r="AA19" s="831">
        <f t="shared" si="14"/>
        <v>7092</v>
      </c>
      <c r="AB19" s="831">
        <f t="shared" si="14"/>
        <v>15576</v>
      </c>
      <c r="AC19" s="831">
        <f t="shared" si="14"/>
        <v>7541</v>
      </c>
      <c r="AD19" s="831">
        <f t="shared" si="14"/>
        <v>0</v>
      </c>
      <c r="AE19" s="833">
        <f t="shared" si="14"/>
        <v>0</v>
      </c>
      <c r="AF19" s="834">
        <f t="shared" si="14"/>
        <v>0</v>
      </c>
      <c r="AG19" s="835">
        <f t="shared" si="14"/>
        <v>0</v>
      </c>
      <c r="AH19" s="833">
        <f t="shared" si="14"/>
        <v>0</v>
      </c>
      <c r="AI19" s="823">
        <f t="shared" si="14"/>
        <v>1405</v>
      </c>
      <c r="AJ19" s="823">
        <f t="shared" si="14"/>
        <v>0</v>
      </c>
      <c r="AK19" s="833">
        <f t="shared" si="14"/>
        <v>0</v>
      </c>
      <c r="AL19" s="887">
        <f>IF(ISNUMBER(NºAsuntos!G19/NºAsuntos!E19),NºAsuntos!G19/NºAsuntos!E19," - ")</f>
        <v>0.96837384942176064</v>
      </c>
      <c r="AM19" s="888">
        <f>IF(ISNUMBER(((NºAsuntos!I19/NºAsuntos!G19)*11)/factor_trimestre),((NºAsuntos!I19/NºAsuntos!G19)*11)/factor_trimestre," - ")</f>
        <v>6.3648549841579332</v>
      </c>
      <c r="AN19" s="888">
        <f>IF(ISNUMBER('Resol  Asuntos'!D19/NºAsuntos!G19),'Resol  Asuntos'!D19/NºAsuntos!G19," - ")</f>
        <v>0.17121618328052646</v>
      </c>
      <c r="AO19" s="889">
        <f>IF(ISNUMBER((NºAsuntos!C19+NºAsuntos!E19)/NºAsuntos!G19),(NºAsuntos!C19+NºAsuntos!E19)/NºAsuntos!G19," - ")</f>
        <v>3.1323421886424567</v>
      </c>
      <c r="AP19" s="890" t="str">
        <f t="shared" si="2"/>
        <v xml:space="preserve"> - </v>
      </c>
      <c r="AQ19" s="891">
        <f>IF(OR(ISNUMBER(FIND("01",Criterios!A8,1)),ISNUMBER(FIND("02",Criterios!A8,1)),ISNUMBER(FIND("03",Criterios!A8,1)),ISNUMBER(FIND("04",Criterios!A8,1))),(I19-W19+K19)/(F19-K19),(H19-W19+K19)/(F19-K19))</f>
        <v>-0.60769345906301453</v>
      </c>
      <c r="AR19" s="892">
        <f>IF(ISNUMBER((Datos!P19-Datos!Q19)/(Datos!R19-Datos!P19+Datos!Q19)),(Datos!P19-Datos!Q19)/(Datos!R19-Datos!P19+Datos!Q19)," - ")</f>
        <v>1.2941405995968004E-2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2739.2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3.844187531556932</v>
      </c>
      <c r="F21" s="255">
        <f>IF(ISNUMBER(STDEV(F8:F18)),STDEV(F8:F18),"-")</f>
        <v>3767.2105064623083</v>
      </c>
      <c r="G21" s="256">
        <f>IF(ISNUMBER(STDEV(G8:G18)),STDEV(G8:G18),"-")</f>
        <v>3620.16804858559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2099.8271357423687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354.16985432739153</v>
      </c>
      <c r="AJ21" s="255">
        <f t="shared" si="18"/>
        <v>0</v>
      </c>
      <c r="AK21" s="257">
        <f t="shared" si="18"/>
        <v>0</v>
      </c>
      <c r="AL21" s="252">
        <f t="shared" si="18"/>
        <v>0.17284276987094499</v>
      </c>
      <c r="AM21" s="253">
        <f t="shared" si="18"/>
        <v>2.7124963846077521</v>
      </c>
      <c r="AN21" s="253">
        <f t="shared" si="18"/>
        <v>0.10972740953285219</v>
      </c>
      <c r="AO21" s="254">
        <f t="shared" si="18"/>
        <v>0.91692999180230406</v>
      </c>
      <c r="AP21" s="294" t="str">
        <f t="shared" si="18"/>
        <v>-</v>
      </c>
      <c r="AQ21" s="295">
        <f t="shared" si="18"/>
        <v>0.17794849295998094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YPZrHojXmF2TZtGVuucP46jf+mk8FK4FfHO0vYtsI355i0SJ6zqqMuDG55DLEO/EwbwGdHcDXscIswxlszSdBQ==" saltValue="NSh3nq4tvCYGKM91JNZKz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GRANOLLERS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-0.10348977135980746</v>
      </c>
      <c r="I9" s="353">
        <f>IF(ISNUMBER((Tasas!C9-Datos!BE9)/Datos!BE9),(Tasas!C9-Datos!BE9)/Datos!BE9," - ")</f>
        <v>0.15587775931275871</v>
      </c>
      <c r="J9" s="352">
        <f>IF(ISNUMBER((Tasas!D9-Datos!BF9)/Datos!BF9),(Tasas!D9-Datos!BF9)/Datos!BF9," - ")</f>
        <v>-0.44971967607012542</v>
      </c>
      <c r="K9" s="354">
        <f>IF(ISNUMBER((Tasas!E9-Datos!BG9)/Datos!BG9),(Tasas!E9-Datos!BG9)/Datos!BG9," - ")</f>
        <v>0.1109057338817649</v>
      </c>
      <c r="M9" t="e">
        <f>IF(Monitorios="SI",Datos!CE9,0)</f>
        <v>#REF!</v>
      </c>
      <c r="N9" t="e">
        <f>IF(Monitorios="SI",Datos!CF9,0)</f>
        <v>#REF!</v>
      </c>
      <c r="O9" t="e">
        <f>IF(Monitorios="SI",Datos!CG9,0)</f>
        <v>#REF!</v>
      </c>
      <c r="P9" t="e">
        <f>IF(Monitorios="SI",Datos!CH9,0)</f>
        <v>#REF!</v>
      </c>
      <c r="Q9">
        <f>IF(J_V="SI",0,Datos!AG9)</f>
        <v>94</v>
      </c>
      <c r="R9">
        <f>IF(J_V="SI",0,Datos!AH9)</f>
        <v>135</v>
      </c>
      <c r="S9">
        <f>IF(J_V="SI",0,Datos!AI9)</f>
        <v>131</v>
      </c>
      <c r="T9">
        <f>IF(J_V="SI",0,Datos!AJ9)</f>
        <v>102</v>
      </c>
    </row>
    <row r="10" spans="2:20" ht="14.25">
      <c r="B10" s="278" t="s">
        <v>249</v>
      </c>
      <c r="C10" s="7" t="str">
        <f>Datos!A10</f>
        <v>Jdos. Violencia contra la mujer</v>
      </c>
      <c r="D10" s="355">
        <f>IF(ISNUMBER((Datos!I10-Datos!S10)/Datos!S10),(Datos!I10-Datos!S10)/Datos!S10," - ")</f>
        <v>1.2987012987012988E-2</v>
      </c>
      <c r="E10" s="351">
        <f>IF(ISNUMBER((Datos!J10-Datos!T10)/Datos!T10),(Datos!J10-Datos!T10)/Datos!T10," - ")</f>
        <v>-0.19642857142857142</v>
      </c>
      <c r="F10" s="351">
        <f>IF(ISNUMBER((Datos!K10-Datos!U10)/Datos!U10),(Datos!K10-Datos!U10)/Datos!U10," - ")</f>
        <v>-0.22222222222222221</v>
      </c>
      <c r="G10" s="352">
        <f>IF(ISNUMBER((Datos!L10-Datos!V10)/Datos!V10),(Datos!L10-Datos!V10)/Datos!V10," - ")</f>
        <v>-2.0618556701030927E-2</v>
      </c>
      <c r="H10" s="233">
        <f>IF(ISNUMBER((Datos!M10-Datos!W10)/Datos!W10),(Datos!M10-Datos!W10)/Datos!W10," - ")</f>
        <v>0</v>
      </c>
      <c r="I10" s="353">
        <f>IF(ISNUMBER((Tasas!C10-Datos!BE10)/Datos!BE10),(Tasas!C10-Datos!BE10)/Datos!BE10," - ")</f>
        <v>0.25920471281296015</v>
      </c>
      <c r="J10" s="352">
        <f>IF(ISNUMBER((Tasas!D10-Datos!BF10)/Datos!BF10),(Tasas!D10-Datos!BF10)/Datos!BF10," - ")</f>
        <v>0.2857142857142857</v>
      </c>
      <c r="K10" s="354">
        <f>IF(ISNUMBER((Tasas!E10-Datos!BG10)/Datos!BG10),(Tasas!E10-Datos!BG10)/Datos!BG10," - ")</f>
        <v>0.18904403866809885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-0.24701195219123506</v>
      </c>
      <c r="I11" s="353">
        <f>IF(ISNUMBER((Tasas!C11-Datos!BE11)/Datos!BE11),(Tasas!C11-Datos!BE11)/Datos!BE11," - ")</f>
        <v>-0.33068569163694023</v>
      </c>
      <c r="J11" s="352">
        <f>IF(ISNUMBER((Tasas!D11-Datos!BF11)/Datos!BF11),(Tasas!D11-Datos!BF11)/Datos!BF11," - ")</f>
        <v>-0.43434686597587907</v>
      </c>
      <c r="K11" s="354">
        <f>IF(ISNUMBER((Tasas!E11-Datos!BG11)/Datos!BG11),(Tasas!E11-Datos!BG11)/Datos!BG11," - ")</f>
        <v>-0.24226048921352142</v>
      </c>
      <c r="M11" t="e">
        <f>IF(Monitorios="SI",Datos!CE11,0)</f>
        <v>#REF!</v>
      </c>
      <c r="N11" t="e">
        <f>IF(Monitorios="SI",Datos!CF11,0)</f>
        <v>#REF!</v>
      </c>
      <c r="O11" t="e">
        <f>IF(Monitorios="SI",Datos!CG11,0)</f>
        <v>#REF!</v>
      </c>
      <c r="P11" t="e">
        <f>IF(Monitorios="SI",Datos!CH11,0)</f>
        <v>#REF!</v>
      </c>
      <c r="Q11">
        <f>IF(J_V="SI",0,Datos!AG11)</f>
        <v>151</v>
      </c>
      <c r="R11">
        <f>IF(J_V="SI",0,Datos!AH11)</f>
        <v>192</v>
      </c>
      <c r="S11">
        <f>IF(J_V="SI",0,Datos!AI11)</f>
        <v>130</v>
      </c>
      <c r="T11">
        <f>IF(J_V="SI",0,Datos!AJ11)</f>
        <v>213</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-0.13528336380255943</v>
      </c>
      <c r="I13" s="360">
        <f>IF(ISNUMBER((Tasas!C13-Datos!BE13)/Datos!BE13),(Tasas!C13-Datos!BE13)/Datos!BE13," - ")</f>
        <v>6.5251806771865511E-2</v>
      </c>
      <c r="J13" s="358">
        <f>IF(ISNUMBER((Tasas!D13-Datos!BF13)/Datos!BF13),(Tasas!D13-Datos!BF13)/Datos!BF13," - ")</f>
        <v>-0.44308166350862882</v>
      </c>
      <c r="K13" s="361">
        <f>IF(ISNUMBER((Tasas!E13-Datos!BG13)/Datos!BG13),(Tasas!E13-Datos!BG13)/Datos!BG13," - ")</f>
        <v>4.2760060898874526E-2</v>
      </c>
      <c r="M13" t="e">
        <f>IF(Monitorios="SI",Datos!CE13,0)</f>
        <v>#REF!</v>
      </c>
      <c r="N13" t="e">
        <f>IF(Monitorios="SI",Datos!CF13,0)</f>
        <v>#REF!</v>
      </c>
      <c r="O13" t="e">
        <f>IF(Monitorios="SI",Datos!CG13,0)</f>
        <v>#REF!</v>
      </c>
      <c r="P13" t="e">
        <f>IF(Monitorios="SI",Datos!CH13,0)</f>
        <v>#REF!</v>
      </c>
      <c r="Q13">
        <f>IF(J_V="SI",0,Datos!AG13)</f>
        <v>245</v>
      </c>
      <c r="R13">
        <f>IF(J_V="SI",0,Datos!AH13)</f>
        <v>327</v>
      </c>
      <c r="S13">
        <f>IF(J_V="SI",0,Datos!AI13)</f>
        <v>261</v>
      </c>
      <c r="T13">
        <f>IF(J_V="SI",0,Datos!AJ13)</f>
        <v>315</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0.12354036215941784</v>
      </c>
      <c r="E15" s="351">
        <f>IF(ISNUMBER(
   IF(D_I="SI",(Datos!J15-Datos!T15)/Datos!T15,(Datos!J15+Datos!AD15-(Datos!T15+Datos!AL15))/(Datos!T15+Datos!AL15))
     ),IF(D_I="SI",(Datos!J15-Datos!T15)/Datos!T15,(Datos!J15+Datos!AD15-(Datos!T15+Datos!AL15))/(Datos!T15+Datos!AL15))," - ")</f>
        <v>6.7071560602059682E-2</v>
      </c>
      <c r="F15" s="351">
        <f>IF(ISNUMBER(
   IF(D_I="SI",(Datos!K15-Datos!U15)/Datos!U15,(Datos!K15+Datos!AE15-(Datos!U15+Datos!AM15))/(Datos!U15+Datos!AM15))
     ),IF(D_I="SI",(Datos!K15-Datos!U15)/Datos!U15,(Datos!K15+Datos!AE15-(Datos!U15+Datos!AM15))/(Datos!U15+Datos!AM15))," - ")</f>
        <v>6.5734265734265732E-2</v>
      </c>
      <c r="G15" s="352">
        <f>IF(ISNUMBER(
   IF(D_I="SI",(Datos!L15-Datos!V15)/Datos!V15,(Datos!L15+Datos!AF15-(Datos!V15+Datos!AN15))/(Datos!V15+Datos!AN15))
     ),IF(D_I="SI",(Datos!L15-Datos!V15)/Datos!V15,(Datos!L15+Datos!AF15-(Datos!V15+Datos!AN15))/(Datos!V15+Datos!AN15))," - ")</f>
        <v>0.11121951219512195</v>
      </c>
      <c r="H15" s="233">
        <f>IF(ISNUMBER((Datos!M15-Datos!W15)/Datos!W15),(Datos!M15-Datos!W15)/Datos!W15," - ")</f>
        <v>3.1325301204819279E-2</v>
      </c>
      <c r="I15" s="353">
        <f>IF(ISNUMBER((Tasas!C15-Datos!BE15)/Datos!BE15),(Tasas!C15-Datos!BE15)/Datos!BE15," - ")</f>
        <v>4.2679726009858629E-2</v>
      </c>
      <c r="J15" s="352">
        <f>IF(ISNUMBER((Tasas!D15-Datos!BF15)/Datos!BF15),(Tasas!D15-Datos!BF15)/Datos!BF15," - ")</f>
        <v>-3.2286626822249594E-2</v>
      </c>
      <c r="K15" s="354">
        <f>IF(ISNUMBER((Tasas!E15-Datos!BG15)/Datos!BG15),(Tasas!E15-Datos!BG15)/Datos!BG15," - ")</f>
        <v>3.3545775837426302E-2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-0.60422960725075525</v>
      </c>
      <c r="E17" s="351">
        <f>IF(ISNUMBER(
   IF(D_I="SI",(Datos!J17-Datos!T17)/Datos!T17,(Datos!J17+Datos!AD17-(Datos!T17+Datos!AL17))/(Datos!T17+Datos!AL17))
     ),IF(D_I="SI",(Datos!J17-Datos!T17)/Datos!T17,(Datos!J17+Datos!AD17-(Datos!T17+Datos!AL17))/(Datos!T17+Datos!AL17))," - ")</f>
        <v>-8.6330935251798566E-2</v>
      </c>
      <c r="F17" s="351">
        <f>IF(ISNUMBER(
   IF(D_I="SI",(Datos!K17-Datos!U17)/Datos!U17,(Datos!K17+Datos!AE17-(Datos!U17+Datos!AM17))/(Datos!U17+Datos!AM17))
     ),IF(D_I="SI",(Datos!K17-Datos!U17)/Datos!U17,(Datos!K17+Datos!AE17-(Datos!U17+Datos!AM17))/(Datos!U17+Datos!AM17))," - ")</f>
        <v>-0.15267175572519084</v>
      </c>
      <c r="G17" s="352">
        <f>IF(ISNUMBER(
   IF(D_I="SI",(Datos!L17-Datos!V17)/Datos!V17,(Datos!L17+Datos!AF17-(Datos!V17+Datos!AN17))/(Datos!V17+Datos!AN17))
     ),IF(D_I="SI",(Datos!L17-Datos!V17)/Datos!V17,(Datos!L17+Datos!AF17-(Datos!V17+Datos!AN17))/(Datos!V17+Datos!AN17))," - ")</f>
        <v>0.31451612903225806</v>
      </c>
      <c r="H17" s="233">
        <f>IF(ISNUMBER((Datos!M17-Datos!W17)/Datos!W17),(Datos!M17-Datos!W17)/Datos!W17," - ")</f>
        <v>0.72222222222222221</v>
      </c>
      <c r="I17" s="353">
        <f>IF(ISNUMBER((Tasas!C17-Datos!BE17)/Datos!BE17),(Tasas!C17-Datos!BE17)/Datos!BE17," - ")</f>
        <v>0.55136588201104342</v>
      </c>
      <c r="J17" s="352">
        <f>IF(ISNUMBER((Tasas!D17-Datos!BF17)/Datos!BF17),(Tasas!D17-Datos!BF17)/Datos!BF17," - ")</f>
        <v>1.0325325325325323</v>
      </c>
      <c r="K17" s="354">
        <f>IF(ISNUMBER((Tasas!E17-Datos!BG17)/Datos!BG17),(Tasas!E17-Datos!BG17)/Datos!BG17," - ")</f>
        <v>-0.2539090814952884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8.4935897435897439E-2</v>
      </c>
      <c r="E18" s="357">
        <f>IF(ISNUMBER(
   IF(D_I="SI",(Datos!J18-Datos!T18)/Datos!T18,(Datos!J18+Datos!AD18-(Datos!T18+Datos!AL18))/(Datos!T18+Datos!AL18))
     ),IF(D_I="SI",(Datos!J18-Datos!T18)/Datos!T18,(Datos!J18+Datos!AD18-(Datos!T18+Datos!AL18))/(Datos!T18+Datos!AL18))," - ")</f>
        <v>5.6580565805658053E-2</v>
      </c>
      <c r="F18" s="357">
        <f>IF(ISNUMBER(
   IF(D_I="SI",(Datos!K18-Datos!U18)/Datos!U18,(Datos!K18+Datos!AE18-(Datos!U18+Datos!AM18))/(Datos!U18+Datos!AM18))
     ),IF(D_I="SI",(Datos!K18-Datos!U18)/Datos!U18,(Datos!K18+Datos!AE18-(Datos!U18+Datos!AM18))/(Datos!U18+Datos!AM18))," - ")</f>
        <v>5.08209538702111E-2</v>
      </c>
      <c r="G18" s="358">
        <f>IF(ISNUMBER(
   IF(D_I="SI",(Datos!L18-Datos!V18)/Datos!V18,(Datos!L18+Datos!AF18-(Datos!V18+Datos!AN18))/(Datos!V18+Datos!AN18))
     ),IF(D_I="SI",(Datos!L18-Datos!V18)/Datos!V18,(Datos!L18+Datos!AF18-(Datos!V18+Datos!AN18))/(Datos!V18+Datos!AN18))," - ")</f>
        <v>0.11523748804590372</v>
      </c>
      <c r="H18" s="359">
        <f>IF(ISNUMBER((Datos!M18-Datos!W18)/Datos!W18),(Datos!M18-Datos!W18)/Datos!W18," - ")</f>
        <v>6.0046189376443418E-2</v>
      </c>
      <c r="I18" s="360">
        <f>IF(ISNUMBER((Tasas!C18-Datos!BE18)/Datos!BE18),(Tasas!C18-Datos!BE18)/Datos!BE18," - ")</f>
        <v>6.130115119844564E-2</v>
      </c>
      <c r="J18" s="358">
        <f>IF(ISNUMBER((Tasas!D18-Datos!BF18)/Datos!BF18),(Tasas!D18-Datos!BF18)/Datos!BF18," - ")</f>
        <v>8.7790745628505799E-3</v>
      </c>
      <c r="K18" s="361">
        <f>IF(ISNUMBER((Tasas!E18-Datos!BG18)/Datos!BG18),(Tasas!E18-Datos!BG18)/Datos!BG18," - ")</f>
        <v>2.1820703657494108E-2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1.7479626786346993E-2</v>
      </c>
      <c r="E19" s="366">
        <f>IF(ISNUMBER(
   IF(J_V="SI",(Datos!J19-Datos!T19)/Datos!T19,(Datos!J19+Datos!Z19-(Datos!T19+Datos!AH19))/(Datos!T19+Datos!AH19))
     ),IF(J_V="SI",(Datos!J19-Datos!T19)/Datos!T19,(Datos!J19+Datos!Z19-(Datos!T19+Datos!AH19))/(Datos!T19+Datos!AH19))," - ")</f>
        <v>2.5411423039690222E-2</v>
      </c>
      <c r="F19" s="366">
        <f>IF(ISNUMBER(
   IF(J_V="SI",(Datos!K19-Datos!U19)/Datos!U19,(Datos!K19+Datos!AA19-(Datos!U19+Datos!AI19))/(Datos!U19+Datos!AI19))
     ),IF(J_V="SI",(Datos!K19-Datos!U19)/Datos!U19,(Datos!K19+Datos!AA19-(Datos!U19+Datos!AI19))/(Datos!U19+Datos!AI19))," - ")</f>
        <v>-7.1385359951603149E-3</v>
      </c>
      <c r="G19" s="367">
        <f>IF(ISNUMBER(
   IF(J_V="SI",(Datos!L19-Datos!V19)/Datos!V19,(Datos!L19+Datos!AB19-(Datos!V19+Datos!AJ19))/(Datos!V19+Datos!AJ19))
     ),IF(J_V="SI",(Datos!L19-Datos!V19)/Datos!V19,(Datos!L19+Datos!AB19-(Datos!V19+Datos!AJ19))/(Datos!V19+Datos!AJ19))," - ")</f>
        <v>4.6022590723383799E-2</v>
      </c>
      <c r="H19" s="368">
        <f>IF(ISNUMBER((Datos!M19-Datos!W19)/Datos!W19),(Datos!M19-Datos!W19)/Datos!W19," - ")</f>
        <v>-7.9895219384413879E-2</v>
      </c>
      <c r="I19" s="365">
        <f>IF(ISNUMBER((Tasas!C19-Datos!BE19)/Datos!BE19),(Tasas!C19-Datos!BE19)/Datos!BE19," - ")</f>
        <v>5.3543347834361071E-2</v>
      </c>
      <c r="J19" s="366">
        <f>IF(ISNUMBER((Tasas!D19-Datos!BF19)/Datos!BF19),(Tasas!D19-Datos!BF19)/Datos!BF19," - ")</f>
        <v>-0.36684485243241566</v>
      </c>
      <c r="K19" s="367">
        <f>IF(ISNUMBER((Tasas!E19-Datos!BG19)/Datos!BG19),(Tasas!E19-Datos!BG19)/Datos!BG19," - ")</f>
        <v>2.7415199187630194E-2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0.34210665578713539</v>
      </c>
      <c r="E21" s="281">
        <f t="shared" si="1"/>
        <v>0.1257091605109418</v>
      </c>
      <c r="F21" s="281">
        <f t="shared" si="1"/>
        <v>0.14481069893019385</v>
      </c>
      <c r="G21" s="282">
        <f t="shared" si="1"/>
        <v>0.13820607626138987</v>
      </c>
      <c r="H21" s="288">
        <f t="shared" si="1"/>
        <v>0.31645620283831516</v>
      </c>
      <c r="I21" s="280">
        <f t="shared" si="1"/>
        <v>0.26523749742324182</v>
      </c>
      <c r="J21" s="281">
        <f t="shared" si="1"/>
        <v>0.53788968529890291</v>
      </c>
      <c r="K21" s="282">
        <f t="shared" si="1"/>
        <v>0.16992791079181116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8NhMlK2BvMeIM1tXn+CG1njWlm81oj0Ch9zLUOfkAA58jR8vm7f+RVRycgDitwuyxVwUUXbPqof83Fy4/p6oQ==" saltValue="5K0rRvR16qXVAyNCFfjnd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